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<sst xmlns="http://schemas.openxmlformats.org/spreadsheetml/2006/main" count="4190" uniqueCount="973">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</sst>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80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0" fontId="3" fillId="39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>
        <f>IF(ISBLANK(_endDate),"",_endDate)</f>
        <v>44012</v>
      </c>
    </row>
    <row r="2" spans="1:27" ht="15.75">
      <c r="A2" s="645" t="s">
        <v>938</v>
      </c>
      <c r="B2" s="640"/>
      <c r="Z2" s="657">
        <v>2</v>
      </c>
      <c r="AA2" s="658">
        <f>IF(ISBLANK(_pdeReportingDate),"",_pdeReportingDate)</f>
        <v>44103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>
        <v>43831</v>
      </c>
    </row>
    <row r="10" spans="1:2" ht="15.75">
      <c r="A10" s="7" t="s">
        <v>2</v>
      </c>
      <c r="B10" s="538">
        <v>44012</v>
      </c>
    </row>
    <row r="11" spans="1:2" ht="15.75">
      <c r="A11" s="7" t="s">
        <v>950</v>
      </c>
      <c r="B11" s="538">
        <v>44103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967</v>
      </c>
    </row>
    <row r="20" spans="1:2" ht="15.75">
      <c r="A20" s="7" t="s">
        <v>5</v>
      </c>
      <c r="B20" s="537" t="s">
        <v>967</v>
      </c>
    </row>
    <row r="21" spans="1:2" ht="15.75">
      <c r="A21" s="10" t="s">
        <v>6</v>
      </c>
      <c r="B21" s="539" t="s">
        <v>968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969</v>
      </c>
    </row>
    <row r="24" spans="1:2" ht="15.75">
      <c r="A24" s="10" t="s">
        <v>892</v>
      </c>
      <c r="B24" s="648" t="s">
        <v>970</v>
      </c>
    </row>
    <row r="25" spans="1:2" ht="15.75">
      <c r="A25" s="7" t="s">
        <v>895</v>
      </c>
      <c r="B25" s="649" t="s">
        <v>971</v>
      </c>
    </row>
    <row r="26" spans="1:2" ht="15.75">
      <c r="A26" s="10" t="s">
        <v>943</v>
      </c>
      <c r="B26" s="539" t="s">
        <v>972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-1.4210526315789473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0.3655234657039711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-0.008713050212985672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-0.008925816546921143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0.41304347826086957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0.21818001912991852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0.17378541508624953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0.010851281374715525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0.010851281374715525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0.007126603485784301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0.006281130162648213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1.0735968116904684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-41.95126353790613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1.02441927094812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184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-0.16606498194945848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0.8175438596491228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199.49356223175965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7422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74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15099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23639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38759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598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362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293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1253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3431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1458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4940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48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257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329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93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6615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45374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7381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15033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-21747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9768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-31515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-405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-22152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-1108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11735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4428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16163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16163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72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2898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583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2023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217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27349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30319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30319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45374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66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65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49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215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35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0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74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504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184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2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0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186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690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690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690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65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198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285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285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405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285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405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405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405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690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653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-717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-227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-46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0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0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689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352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-149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-149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>
        <f t="shared" si="20"/>
        <v>44012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203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>
        <f t="shared" si="20"/>
        <v>44012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125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>
        <f t="shared" si="20"/>
        <v>44012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328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>
        <f t="shared" si="20"/>
        <v>44012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112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>
        <f t="shared" si="20"/>
        <v>44012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257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>
        <f aca="true" t="shared" si="23" ref="C218:C281">endDate</f>
        <v>44012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>
        <f t="shared" si="23"/>
        <v>44012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>
        <f t="shared" si="23"/>
        <v>44012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>
        <f t="shared" si="23"/>
        <v>44012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>
        <f t="shared" si="23"/>
        <v>44012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>
        <f t="shared" si="23"/>
        <v>44012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>
        <f t="shared" si="23"/>
        <v>44012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>
        <f t="shared" si="23"/>
        <v>44012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>
        <f t="shared" si="23"/>
        <v>44012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>
        <f t="shared" si="23"/>
        <v>44012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>
        <f t="shared" si="23"/>
        <v>44012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>
        <f t="shared" si="23"/>
        <v>44012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>
        <f t="shared" si="23"/>
        <v>44012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>
        <f t="shared" si="23"/>
        <v>44012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>
        <f t="shared" si="23"/>
        <v>44012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>
        <f t="shared" si="23"/>
        <v>44012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>
        <f t="shared" si="23"/>
        <v>44012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>
        <f t="shared" si="23"/>
        <v>44012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>
        <f t="shared" si="23"/>
        <v>44012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>
        <f t="shared" si="23"/>
        <v>44012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>
        <f t="shared" si="23"/>
        <v>44012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>
        <f t="shared" si="23"/>
        <v>44012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>
        <f t="shared" si="23"/>
        <v>44012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>
        <f t="shared" si="23"/>
        <v>44012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>
        <f t="shared" si="23"/>
        <v>44012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>
        <f t="shared" si="23"/>
        <v>44012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>
        <f t="shared" si="23"/>
        <v>44012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>
        <f t="shared" si="23"/>
        <v>44012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>
        <f t="shared" si="23"/>
        <v>44012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>
        <f t="shared" si="23"/>
        <v>44012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>
        <f t="shared" si="23"/>
        <v>44012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>
        <f t="shared" si="23"/>
        <v>44012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>
        <f t="shared" si="23"/>
        <v>44012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>
        <f t="shared" si="23"/>
        <v>44012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>
        <f t="shared" si="23"/>
        <v>44012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>
        <f t="shared" si="23"/>
        <v>44012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>
        <f t="shared" si="23"/>
        <v>44012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>
        <f t="shared" si="23"/>
        <v>44012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>
        <f t="shared" si="23"/>
        <v>44012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>
        <f t="shared" si="23"/>
        <v>44012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>
        <f t="shared" si="23"/>
        <v>44012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>
        <f t="shared" si="23"/>
        <v>44012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>
        <f t="shared" si="23"/>
        <v>44012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>
        <f t="shared" si="23"/>
        <v>44012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>
        <f t="shared" si="23"/>
        <v>44012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7381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>
        <f t="shared" si="23"/>
        <v>44012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>
        <f t="shared" si="23"/>
        <v>44012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>
        <f t="shared" si="23"/>
        <v>44012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>
        <f t="shared" si="23"/>
        <v>44012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7381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>
        <f t="shared" si="23"/>
        <v>44012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>
        <f t="shared" si="23"/>
        <v>44012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>
        <f t="shared" si="23"/>
        <v>44012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>
        <f t="shared" si="23"/>
        <v>44012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>
        <f t="shared" si="23"/>
        <v>44012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>
        <f t="shared" si="23"/>
        <v>44012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>
        <f t="shared" si="23"/>
        <v>44012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>
        <f t="shared" si="23"/>
        <v>44012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>
        <f t="shared" si="23"/>
        <v>44012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>
        <f t="shared" si="23"/>
        <v>44012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>
        <f t="shared" si="23"/>
        <v>44012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>
        <f t="shared" si="23"/>
        <v>44012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>
        <f t="shared" si="23"/>
        <v>44012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>
        <f t="shared" si="23"/>
        <v>44012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7381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>
        <f t="shared" si="23"/>
        <v>44012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>
        <f aca="true" t="shared" si="26" ref="C282:C345">endDate</f>
        <v>44012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>
        <f t="shared" si="26"/>
        <v>44012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7381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>
        <f t="shared" si="26"/>
        <v>44012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>
        <f t="shared" si="26"/>
        <v>44012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>
        <f t="shared" si="26"/>
        <v>44012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>
        <f t="shared" si="26"/>
        <v>44012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>
        <f t="shared" si="26"/>
        <v>44012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>
        <f t="shared" si="26"/>
        <v>44012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>
        <f t="shared" si="26"/>
        <v>44012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>
        <f t="shared" si="26"/>
        <v>44012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>
        <f t="shared" si="26"/>
        <v>44012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>
        <f t="shared" si="26"/>
        <v>44012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>
        <f t="shared" si="26"/>
        <v>44012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>
        <f t="shared" si="26"/>
        <v>44012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>
        <f t="shared" si="26"/>
        <v>44012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>
        <f t="shared" si="26"/>
        <v>44012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>
        <f t="shared" si="26"/>
        <v>44012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>
        <f t="shared" si="26"/>
        <v>44012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>
        <f t="shared" si="26"/>
        <v>44012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>
        <f t="shared" si="26"/>
        <v>44012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>
        <f t="shared" si="26"/>
        <v>44012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>
        <f t="shared" si="26"/>
        <v>44012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>
        <f t="shared" si="26"/>
        <v>44012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>
        <f t="shared" si="26"/>
        <v>44012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>
        <f t="shared" si="26"/>
        <v>44012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>
        <f t="shared" si="26"/>
        <v>44012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>
        <f t="shared" si="26"/>
        <v>44012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>
        <f t="shared" si="26"/>
        <v>44012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>
        <f t="shared" si="26"/>
        <v>44012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>
        <f t="shared" si="26"/>
        <v>44012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>
        <f t="shared" si="26"/>
        <v>44012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>
        <f t="shared" si="26"/>
        <v>44012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>
        <f t="shared" si="26"/>
        <v>44012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>
        <f t="shared" si="26"/>
        <v>44012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>
        <f t="shared" si="26"/>
        <v>44012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>
        <f t="shared" si="26"/>
        <v>44012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>
        <f t="shared" si="26"/>
        <v>44012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>
        <f t="shared" si="26"/>
        <v>44012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>
        <f t="shared" si="26"/>
        <v>44012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>
        <f t="shared" si="26"/>
        <v>44012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>
        <f t="shared" si="26"/>
        <v>44012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>
        <f t="shared" si="26"/>
        <v>44012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>
        <f t="shared" si="26"/>
        <v>44012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>
        <f t="shared" si="26"/>
        <v>44012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>
        <f t="shared" si="26"/>
        <v>44012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>
        <f t="shared" si="26"/>
        <v>44012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>
        <f t="shared" si="26"/>
        <v>44012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>
        <f t="shared" si="26"/>
        <v>44012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>
        <f t="shared" si="26"/>
        <v>44012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>
        <f t="shared" si="26"/>
        <v>44012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>
        <f t="shared" si="26"/>
        <v>44012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>
        <f t="shared" si="26"/>
        <v>44012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>
        <f t="shared" si="26"/>
        <v>44012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>
        <f t="shared" si="26"/>
        <v>44012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>
        <f t="shared" si="26"/>
        <v>44012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>
        <f t="shared" si="26"/>
        <v>44012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>
        <f t="shared" si="26"/>
        <v>44012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>
        <f t="shared" si="26"/>
        <v>44012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>
        <f t="shared" si="26"/>
        <v>44012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>
        <f t="shared" si="26"/>
        <v>44012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>
        <f t="shared" si="26"/>
        <v>44012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>
        <f t="shared" si="26"/>
        <v>44012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>
        <f t="shared" si="26"/>
        <v>44012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>
        <f t="shared" si="26"/>
        <v>44012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>
        <f aca="true" t="shared" si="29" ref="C346:C409">endDate</f>
        <v>44012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>
        <f t="shared" si="29"/>
        <v>44012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>
        <f t="shared" si="29"/>
        <v>44012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>
        <f t="shared" si="29"/>
        <v>44012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>
        <f t="shared" si="29"/>
        <v>44012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9768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>
        <f t="shared" si="29"/>
        <v>44012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>
        <f t="shared" si="29"/>
        <v>44012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>
        <f t="shared" si="29"/>
        <v>44012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>
        <f t="shared" si="29"/>
        <v>44012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9768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>
        <f t="shared" si="29"/>
        <v>44012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>
        <f t="shared" si="29"/>
        <v>44012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>
        <f t="shared" si="29"/>
        <v>44012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>
        <f t="shared" si="29"/>
        <v>44012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>
        <f t="shared" si="29"/>
        <v>44012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>
        <f t="shared" si="29"/>
        <v>44012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>
        <f t="shared" si="29"/>
        <v>44012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>
        <f t="shared" si="29"/>
        <v>44012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>
        <f t="shared" si="29"/>
        <v>44012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>
        <f t="shared" si="29"/>
        <v>44012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>
        <f t="shared" si="29"/>
        <v>44012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>
        <f t="shared" si="29"/>
        <v>44012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>
        <f t="shared" si="29"/>
        <v>44012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0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>
        <f t="shared" si="29"/>
        <v>44012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9768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>
        <f t="shared" si="29"/>
        <v>44012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>
        <f t="shared" si="29"/>
        <v>44012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>
        <f t="shared" si="29"/>
        <v>44012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9768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>
        <f t="shared" si="29"/>
        <v>44012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-31515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>
        <f t="shared" si="29"/>
        <v>44012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>
        <f t="shared" si="29"/>
        <v>44012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>
        <f t="shared" si="29"/>
        <v>44012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>
        <f t="shared" si="29"/>
        <v>44012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-31515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>
        <f t="shared" si="29"/>
        <v>44012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-405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>
        <f t="shared" si="29"/>
        <v>44012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>
        <f t="shared" si="29"/>
        <v>44012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>
        <f t="shared" si="29"/>
        <v>44012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>
        <f t="shared" si="29"/>
        <v>44012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>
        <f t="shared" si="29"/>
        <v>44012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>
        <f t="shared" si="29"/>
        <v>44012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>
        <f t="shared" si="29"/>
        <v>44012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>
        <f t="shared" si="29"/>
        <v>44012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>
        <f t="shared" si="29"/>
        <v>44012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>
        <f t="shared" si="29"/>
        <v>44012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>
        <f t="shared" si="29"/>
        <v>44012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>
        <f t="shared" si="29"/>
        <v>44012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>
        <f t="shared" si="29"/>
        <v>44012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-31920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>
        <f t="shared" si="29"/>
        <v>44012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>
        <f t="shared" si="29"/>
        <v>44012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>
        <f t="shared" si="29"/>
        <v>44012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-31920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>
        <f t="shared" si="29"/>
        <v>44012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>
        <f t="shared" si="29"/>
        <v>44012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>
        <f t="shared" si="29"/>
        <v>44012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>
        <f t="shared" si="29"/>
        <v>44012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>
        <f t="shared" si="29"/>
        <v>44012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>
        <f t="shared" si="29"/>
        <v>44012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>
        <f t="shared" si="29"/>
        <v>44012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>
        <f t="shared" si="29"/>
        <v>44012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>
        <f t="shared" si="29"/>
        <v>44012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>
        <f t="shared" si="29"/>
        <v>44012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>
        <f t="shared" si="29"/>
        <v>44012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>
        <f t="shared" si="29"/>
        <v>44012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>
        <f t="shared" si="29"/>
        <v>44012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>
        <f t="shared" si="29"/>
        <v>44012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>
        <f t="shared" si="29"/>
        <v>44012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>
        <f t="shared" si="29"/>
        <v>44012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>
        <f aca="true" t="shared" si="32" ref="C410:C459">endDate</f>
        <v>44012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>
        <f t="shared" si="32"/>
        <v>44012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>
        <f t="shared" si="32"/>
        <v>44012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>
        <f t="shared" si="32"/>
        <v>44012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>
        <f t="shared" si="32"/>
        <v>44012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>
        <f t="shared" si="32"/>
        <v>44012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>
        <f t="shared" si="32"/>
        <v>44012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-703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>
        <f t="shared" si="32"/>
        <v>44012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>
        <f t="shared" si="32"/>
        <v>44012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>
        <f t="shared" si="32"/>
        <v>44012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>
        <f t="shared" si="32"/>
        <v>44012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-703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>
        <f t="shared" si="32"/>
        <v>44012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-405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>
        <f t="shared" si="32"/>
        <v>44012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>
        <f t="shared" si="32"/>
        <v>44012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>
        <f t="shared" si="32"/>
        <v>44012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>
        <f t="shared" si="32"/>
        <v>44012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>
        <f t="shared" si="32"/>
        <v>44012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>
        <f t="shared" si="32"/>
        <v>44012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>
        <f t="shared" si="32"/>
        <v>44012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>
        <f t="shared" si="32"/>
        <v>44012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>
        <f t="shared" si="32"/>
        <v>44012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>
        <f t="shared" si="32"/>
        <v>44012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>
        <f t="shared" si="32"/>
        <v>44012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>
        <f t="shared" si="32"/>
        <v>44012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0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>
        <f t="shared" si="32"/>
        <v>44012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-1108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>
        <f t="shared" si="32"/>
        <v>44012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>
        <f t="shared" si="32"/>
        <v>44012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>
        <f t="shared" si="32"/>
        <v>44012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-1108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>
        <f t="shared" si="32"/>
        <v>44012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>
        <f t="shared" si="32"/>
        <v>44012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>
        <f t="shared" si="32"/>
        <v>44012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>
        <f t="shared" si="32"/>
        <v>44012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>
        <f t="shared" si="32"/>
        <v>44012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>
        <f t="shared" si="32"/>
        <v>44012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>
        <f t="shared" si="32"/>
        <v>44012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>
        <f t="shared" si="32"/>
        <v>44012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>
        <f t="shared" si="32"/>
        <v>44012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>
        <f t="shared" si="32"/>
        <v>44012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>
        <f t="shared" si="32"/>
        <v>44012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>
        <f t="shared" si="32"/>
        <v>44012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>
        <f t="shared" si="32"/>
        <v>44012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>
        <f t="shared" si="32"/>
        <v>44012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>
        <f t="shared" si="32"/>
        <v>44012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>
        <f t="shared" si="32"/>
        <v>44012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>
        <f t="shared" si="32"/>
        <v>44012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>
        <f t="shared" si="32"/>
        <v>44012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>
        <f t="shared" si="32"/>
        <v>44012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>
        <f t="shared" si="32"/>
        <v>44012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>
        <f t="shared" si="32"/>
        <v>44012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>
        <f t="shared" si="32"/>
        <v>44012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>
        <f aca="true" t="shared" si="35" ref="C461:C524">endDate</f>
        <v>44012</v>
      </c>
      <c r="D461" s="99" t="s">
        <v>523</v>
      </c>
      <c r="E461" s="473">
        <v>1</v>
      </c>
      <c r="F461" s="99" t="s">
        <v>522</v>
      </c>
      <c r="H461" s="99">
        <f>'Справка 6'!D11</f>
        <v>7422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>
        <f t="shared" si="35"/>
        <v>44012</v>
      </c>
      <c r="D462" s="99" t="s">
        <v>526</v>
      </c>
      <c r="E462" s="473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>
        <f t="shared" si="35"/>
        <v>44012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>
        <f t="shared" si="35"/>
        <v>44012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>
        <f t="shared" si="35"/>
        <v>44012</v>
      </c>
      <c r="D465" s="99" t="s">
        <v>535</v>
      </c>
      <c r="E465" s="473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>
        <f t="shared" si="35"/>
        <v>44012</v>
      </c>
      <c r="D466" s="99" t="s">
        <v>537</v>
      </c>
      <c r="E466" s="473">
        <v>1</v>
      </c>
      <c r="F466" s="99" t="s">
        <v>536</v>
      </c>
      <c r="H466" s="99">
        <f>'Справка 6'!D16</f>
        <v>99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>
        <f t="shared" si="35"/>
        <v>44012</v>
      </c>
      <c r="D467" s="99" t="s">
        <v>540</v>
      </c>
      <c r="E467" s="473">
        <v>1</v>
      </c>
      <c r="F467" s="99" t="s">
        <v>539</v>
      </c>
      <c r="H467" s="99">
        <f>'Справка 6'!D17</f>
        <v>7273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>
        <f t="shared" si="35"/>
        <v>44012</v>
      </c>
      <c r="D468" s="99" t="s">
        <v>543</v>
      </c>
      <c r="E468" s="473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>
        <f t="shared" si="35"/>
        <v>44012</v>
      </c>
      <c r="D469" s="99" t="s">
        <v>545</v>
      </c>
      <c r="E469" s="473">
        <v>1</v>
      </c>
      <c r="F469" s="99" t="s">
        <v>804</v>
      </c>
      <c r="H469" s="99">
        <f>'Справка 6'!D19</f>
        <v>16104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>
        <f t="shared" si="35"/>
        <v>44012</v>
      </c>
      <c r="D470" s="99" t="s">
        <v>547</v>
      </c>
      <c r="E470" s="473">
        <v>1</v>
      </c>
      <c r="F470" s="99" t="s">
        <v>546</v>
      </c>
      <c r="H470" s="99">
        <f>'Справка 6'!D20</f>
        <v>23695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>
        <f t="shared" si="35"/>
        <v>44012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>
        <f t="shared" si="35"/>
        <v>44012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>
        <f t="shared" si="35"/>
        <v>44012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>
        <f t="shared" si="35"/>
        <v>44012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>
        <f t="shared" si="35"/>
        <v>44012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>
        <f t="shared" si="35"/>
        <v>44012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>
        <f t="shared" si="35"/>
        <v>44012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>
        <f t="shared" si="35"/>
        <v>44012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>
        <f t="shared" si="35"/>
        <v>44012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>
        <f t="shared" si="35"/>
        <v>44012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>
        <f t="shared" si="35"/>
        <v>44012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>
        <f t="shared" si="35"/>
        <v>44012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>
        <f t="shared" si="35"/>
        <v>44012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>
        <f t="shared" si="35"/>
        <v>44012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>
        <f t="shared" si="35"/>
        <v>44012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>
        <f t="shared" si="35"/>
        <v>44012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>
        <f t="shared" si="35"/>
        <v>44012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>
        <f t="shared" si="35"/>
        <v>44012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>
        <f t="shared" si="35"/>
        <v>44012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>
        <f t="shared" si="35"/>
        <v>44012</v>
      </c>
      <c r="D490" s="99" t="s">
        <v>583</v>
      </c>
      <c r="E490" s="473">
        <v>1</v>
      </c>
      <c r="F490" s="99" t="s">
        <v>582</v>
      </c>
      <c r="H490" s="99">
        <f>'Справка 6'!D42</f>
        <v>39865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>
        <f t="shared" si="35"/>
        <v>44012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>
        <f t="shared" si="35"/>
        <v>44012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>
        <f t="shared" si="35"/>
        <v>44012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>
        <f t="shared" si="35"/>
        <v>44012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>
        <f t="shared" si="35"/>
        <v>44012</v>
      </c>
      <c r="D495" s="99" t="s">
        <v>535</v>
      </c>
      <c r="E495" s="473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>
        <f t="shared" si="35"/>
        <v>44012</v>
      </c>
      <c r="D496" s="99" t="s">
        <v>537</v>
      </c>
      <c r="E496" s="473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>
        <f t="shared" si="35"/>
        <v>44012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>
        <f t="shared" si="35"/>
        <v>44012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>
        <f t="shared" si="35"/>
        <v>44012</v>
      </c>
      <c r="D499" s="99" t="s">
        <v>545</v>
      </c>
      <c r="E499" s="473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>
        <f t="shared" si="35"/>
        <v>44012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>
        <f t="shared" si="35"/>
        <v>44012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>
        <f t="shared" si="35"/>
        <v>44012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>
        <f t="shared" si="35"/>
        <v>44012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>
        <f t="shared" si="35"/>
        <v>44012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>
        <f t="shared" si="35"/>
        <v>44012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>
        <f t="shared" si="35"/>
        <v>44012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>
        <f t="shared" si="35"/>
        <v>44012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>
        <f t="shared" si="35"/>
        <v>44012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>
        <f t="shared" si="35"/>
        <v>44012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>
        <f t="shared" si="35"/>
        <v>44012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>
        <f t="shared" si="35"/>
        <v>44012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>
        <f t="shared" si="35"/>
        <v>44012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>
        <f t="shared" si="35"/>
        <v>44012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>
        <f t="shared" si="35"/>
        <v>44012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>
        <f t="shared" si="35"/>
        <v>44012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>
        <f t="shared" si="35"/>
        <v>44012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>
        <f t="shared" si="35"/>
        <v>44012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>
        <f t="shared" si="35"/>
        <v>44012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>
        <f t="shared" si="35"/>
        <v>44012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>
        <f t="shared" si="35"/>
        <v>44012</v>
      </c>
      <c r="D520" s="99" t="s">
        <v>583</v>
      </c>
      <c r="E520" s="473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>
        <f t="shared" si="35"/>
        <v>44012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>
        <f t="shared" si="35"/>
        <v>44012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>
        <f t="shared" si="35"/>
        <v>44012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>
        <f t="shared" si="35"/>
        <v>44012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>
        <f aca="true" t="shared" si="38" ref="C525:C588">endDate</f>
        <v>44012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>
        <f t="shared" si="38"/>
        <v>44012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>
        <f t="shared" si="38"/>
        <v>44012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>
        <f t="shared" si="38"/>
        <v>44012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>
        <f t="shared" si="38"/>
        <v>44012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>
        <f t="shared" si="38"/>
        <v>44012</v>
      </c>
      <c r="D530" s="99" t="s">
        <v>547</v>
      </c>
      <c r="E530" s="473">
        <v>3</v>
      </c>
      <c r="F530" s="99" t="s">
        <v>546</v>
      </c>
      <c r="H530" s="99">
        <f>'Справка 6'!F20</f>
        <v>56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>
        <f t="shared" si="38"/>
        <v>44012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>
        <f t="shared" si="38"/>
        <v>44012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>
        <f t="shared" si="38"/>
        <v>44012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>
        <f t="shared" si="38"/>
        <v>44012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>
        <f t="shared" si="38"/>
        <v>44012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>
        <f t="shared" si="38"/>
        <v>44012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>
        <f t="shared" si="38"/>
        <v>44012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>
        <f t="shared" si="38"/>
        <v>44012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>
        <f t="shared" si="38"/>
        <v>44012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>
        <f t="shared" si="38"/>
        <v>44012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>
        <f t="shared" si="38"/>
        <v>44012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>
        <f t="shared" si="38"/>
        <v>44012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>
        <f t="shared" si="38"/>
        <v>44012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>
        <f t="shared" si="38"/>
        <v>44012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>
        <f t="shared" si="38"/>
        <v>44012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>
        <f t="shared" si="38"/>
        <v>44012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>
        <f t="shared" si="38"/>
        <v>44012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>
        <f t="shared" si="38"/>
        <v>44012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>
        <f t="shared" si="38"/>
        <v>44012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>
        <f t="shared" si="38"/>
        <v>44012</v>
      </c>
      <c r="D550" s="99" t="s">
        <v>583</v>
      </c>
      <c r="E550" s="473">
        <v>3</v>
      </c>
      <c r="F550" s="99" t="s">
        <v>582</v>
      </c>
      <c r="H550" s="99">
        <f>'Справка 6'!F42</f>
        <v>56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>
        <f t="shared" si="38"/>
        <v>44012</v>
      </c>
      <c r="D551" s="99" t="s">
        <v>523</v>
      </c>
      <c r="E551" s="473">
        <v>4</v>
      </c>
      <c r="F551" s="99" t="s">
        <v>522</v>
      </c>
      <c r="H551" s="99">
        <f>'Справка 6'!G11</f>
        <v>7422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>
        <f t="shared" si="38"/>
        <v>44012</v>
      </c>
      <c r="D552" s="99" t="s">
        <v>526</v>
      </c>
      <c r="E552" s="473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>
        <f t="shared" si="38"/>
        <v>44012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>
        <f t="shared" si="38"/>
        <v>44012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>
        <f t="shared" si="38"/>
        <v>44012</v>
      </c>
      <c r="D555" s="99" t="s">
        <v>535</v>
      </c>
      <c r="E555" s="473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>
        <f t="shared" si="38"/>
        <v>44012</v>
      </c>
      <c r="D556" s="99" t="s">
        <v>537</v>
      </c>
      <c r="E556" s="473">
        <v>4</v>
      </c>
      <c r="F556" s="99" t="s">
        <v>536</v>
      </c>
      <c r="H556" s="99">
        <f>'Справка 6'!G16</f>
        <v>99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>
        <f t="shared" si="38"/>
        <v>44012</v>
      </c>
      <c r="D557" s="99" t="s">
        <v>540</v>
      </c>
      <c r="E557" s="473">
        <v>4</v>
      </c>
      <c r="F557" s="99" t="s">
        <v>539</v>
      </c>
      <c r="H557" s="99">
        <f>'Справка 6'!G17</f>
        <v>7273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>
        <f t="shared" si="38"/>
        <v>44012</v>
      </c>
      <c r="D558" s="99" t="s">
        <v>543</v>
      </c>
      <c r="E558" s="473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>
        <f t="shared" si="38"/>
        <v>44012</v>
      </c>
      <c r="D559" s="99" t="s">
        <v>545</v>
      </c>
      <c r="E559" s="473">
        <v>4</v>
      </c>
      <c r="F559" s="99" t="s">
        <v>804</v>
      </c>
      <c r="H559" s="99">
        <f>'Справка 6'!G19</f>
        <v>16104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>
        <f t="shared" si="38"/>
        <v>44012</v>
      </c>
      <c r="D560" s="99" t="s">
        <v>547</v>
      </c>
      <c r="E560" s="473">
        <v>4</v>
      </c>
      <c r="F560" s="99" t="s">
        <v>546</v>
      </c>
      <c r="H560" s="99">
        <f>'Справка 6'!G20</f>
        <v>23639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>
        <f t="shared" si="38"/>
        <v>44012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>
        <f t="shared" si="38"/>
        <v>44012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>
        <f t="shared" si="38"/>
        <v>44012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>
        <f t="shared" si="38"/>
        <v>44012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>
        <f t="shared" si="38"/>
        <v>44012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>
        <f t="shared" si="38"/>
        <v>44012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>
        <f t="shared" si="38"/>
        <v>44012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>
        <f t="shared" si="38"/>
        <v>44012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>
        <f t="shared" si="38"/>
        <v>44012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>
        <f t="shared" si="38"/>
        <v>44012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>
        <f t="shared" si="38"/>
        <v>44012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>
        <f t="shared" si="38"/>
        <v>44012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>
        <f t="shared" si="38"/>
        <v>44012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>
        <f t="shared" si="38"/>
        <v>44012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>
        <f t="shared" si="38"/>
        <v>44012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>
        <f t="shared" si="38"/>
        <v>44012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>
        <f t="shared" si="38"/>
        <v>44012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>
        <f t="shared" si="38"/>
        <v>44012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>
        <f t="shared" si="38"/>
        <v>44012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>
        <f t="shared" si="38"/>
        <v>44012</v>
      </c>
      <c r="D580" s="99" t="s">
        <v>583</v>
      </c>
      <c r="E580" s="473">
        <v>4</v>
      </c>
      <c r="F580" s="99" t="s">
        <v>582</v>
      </c>
      <c r="H580" s="99">
        <f>'Справка 6'!G42</f>
        <v>39809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>
        <f t="shared" si="38"/>
        <v>44012</v>
      </c>
      <c r="D581" s="99" t="s">
        <v>523</v>
      </c>
      <c r="E581" s="473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>
        <f t="shared" si="38"/>
        <v>44012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>
        <f t="shared" si="38"/>
        <v>44012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>
        <f t="shared" si="38"/>
        <v>44012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>
        <f t="shared" si="38"/>
        <v>44012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>
        <f t="shared" si="38"/>
        <v>44012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>
        <f t="shared" si="38"/>
        <v>44012</v>
      </c>
      <c r="D587" s="99" t="s">
        <v>540</v>
      </c>
      <c r="E587" s="473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>
        <f t="shared" si="38"/>
        <v>44012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>
        <f aca="true" t="shared" si="41" ref="C589:C652">endDate</f>
        <v>44012</v>
      </c>
      <c r="D589" s="99" t="s">
        <v>545</v>
      </c>
      <c r="E589" s="473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>
        <f t="shared" si="41"/>
        <v>44012</v>
      </c>
      <c r="D590" s="99" t="s">
        <v>547</v>
      </c>
      <c r="E590" s="473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>
        <f t="shared" si="41"/>
        <v>44012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>
        <f t="shared" si="41"/>
        <v>44012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>
        <f t="shared" si="41"/>
        <v>44012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>
        <f t="shared" si="41"/>
        <v>44012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>
        <f t="shared" si="41"/>
        <v>44012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>
        <f t="shared" si="41"/>
        <v>44012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>
        <f t="shared" si="41"/>
        <v>44012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>
        <f t="shared" si="41"/>
        <v>44012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>
        <f t="shared" si="41"/>
        <v>44012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>
        <f t="shared" si="41"/>
        <v>44012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>
        <f t="shared" si="41"/>
        <v>44012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>
        <f t="shared" si="41"/>
        <v>44012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>
        <f t="shared" si="41"/>
        <v>44012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>
        <f t="shared" si="41"/>
        <v>44012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>
        <f t="shared" si="41"/>
        <v>44012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>
        <f t="shared" si="41"/>
        <v>44012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>
        <f t="shared" si="41"/>
        <v>44012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>
        <f t="shared" si="41"/>
        <v>44012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>
        <f t="shared" si="41"/>
        <v>44012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>
        <f t="shared" si="41"/>
        <v>44012</v>
      </c>
      <c r="D610" s="99" t="s">
        <v>583</v>
      </c>
      <c r="E610" s="473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>
        <f t="shared" si="41"/>
        <v>44012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>
        <f t="shared" si="41"/>
        <v>44012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>
        <f t="shared" si="41"/>
        <v>44012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>
        <f t="shared" si="41"/>
        <v>44012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>
        <f t="shared" si="41"/>
        <v>44012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>
        <f t="shared" si="41"/>
        <v>44012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>
        <f t="shared" si="41"/>
        <v>44012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>
        <f t="shared" si="41"/>
        <v>44012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>
        <f t="shared" si="41"/>
        <v>44012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>
        <f t="shared" si="41"/>
        <v>44012</v>
      </c>
      <c r="D620" s="99" t="s">
        <v>547</v>
      </c>
      <c r="E620" s="473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>
        <f t="shared" si="41"/>
        <v>44012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>
        <f t="shared" si="41"/>
        <v>44012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>
        <f t="shared" si="41"/>
        <v>44012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>
        <f t="shared" si="41"/>
        <v>44012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>
        <f t="shared" si="41"/>
        <v>44012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>
        <f t="shared" si="41"/>
        <v>44012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>
        <f t="shared" si="41"/>
        <v>44012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>
        <f t="shared" si="41"/>
        <v>44012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>
        <f t="shared" si="41"/>
        <v>44012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>
        <f t="shared" si="41"/>
        <v>44012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>
        <f t="shared" si="41"/>
        <v>44012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>
        <f t="shared" si="41"/>
        <v>44012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>
        <f t="shared" si="41"/>
        <v>44012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>
        <f t="shared" si="41"/>
        <v>44012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>
        <f t="shared" si="41"/>
        <v>44012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>
        <f t="shared" si="41"/>
        <v>44012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>
        <f t="shared" si="41"/>
        <v>44012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>
        <f t="shared" si="41"/>
        <v>44012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>
        <f t="shared" si="41"/>
        <v>44012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>
        <f t="shared" si="41"/>
        <v>44012</v>
      </c>
      <c r="D640" s="99" t="s">
        <v>583</v>
      </c>
      <c r="E640" s="473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>
        <f t="shared" si="41"/>
        <v>44012</v>
      </c>
      <c r="D641" s="99" t="s">
        <v>523</v>
      </c>
      <c r="E641" s="473">
        <v>7</v>
      </c>
      <c r="F641" s="99" t="s">
        <v>522</v>
      </c>
      <c r="H641" s="99">
        <f>'Справка 6'!J11</f>
        <v>7422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>
        <f t="shared" si="41"/>
        <v>44012</v>
      </c>
      <c r="D642" s="99" t="s">
        <v>526</v>
      </c>
      <c r="E642" s="473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>
        <f t="shared" si="41"/>
        <v>44012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>
        <f t="shared" si="41"/>
        <v>44012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>
        <f t="shared" si="41"/>
        <v>44012</v>
      </c>
      <c r="D645" s="99" t="s">
        <v>535</v>
      </c>
      <c r="E645" s="473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>
        <f t="shared" si="41"/>
        <v>44012</v>
      </c>
      <c r="D646" s="99" t="s">
        <v>537</v>
      </c>
      <c r="E646" s="473">
        <v>7</v>
      </c>
      <c r="F646" s="99" t="s">
        <v>536</v>
      </c>
      <c r="H646" s="99">
        <f>'Справка 6'!J16</f>
        <v>99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>
        <f t="shared" si="41"/>
        <v>44012</v>
      </c>
      <c r="D647" s="99" t="s">
        <v>540</v>
      </c>
      <c r="E647" s="473">
        <v>7</v>
      </c>
      <c r="F647" s="99" t="s">
        <v>539</v>
      </c>
      <c r="H647" s="99">
        <f>'Справка 6'!J17</f>
        <v>7273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>
        <f t="shared" si="41"/>
        <v>44012</v>
      </c>
      <c r="D648" s="99" t="s">
        <v>543</v>
      </c>
      <c r="E648" s="473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>
        <f t="shared" si="41"/>
        <v>44012</v>
      </c>
      <c r="D649" s="99" t="s">
        <v>545</v>
      </c>
      <c r="E649" s="473">
        <v>7</v>
      </c>
      <c r="F649" s="99" t="s">
        <v>804</v>
      </c>
      <c r="H649" s="99">
        <f>'Справка 6'!J19</f>
        <v>16104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>
        <f t="shared" si="41"/>
        <v>44012</v>
      </c>
      <c r="D650" s="99" t="s">
        <v>547</v>
      </c>
      <c r="E650" s="473">
        <v>7</v>
      </c>
      <c r="F650" s="99" t="s">
        <v>546</v>
      </c>
      <c r="H650" s="99">
        <f>'Справка 6'!J20</f>
        <v>23639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>
        <f t="shared" si="41"/>
        <v>44012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>
        <f t="shared" si="41"/>
        <v>44012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>
        <f aca="true" t="shared" si="44" ref="C653:C716">endDate</f>
        <v>44012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>
        <f t="shared" si="44"/>
        <v>44012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>
        <f t="shared" si="44"/>
        <v>44012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>
        <f t="shared" si="44"/>
        <v>44012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>
        <f t="shared" si="44"/>
        <v>44012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>
        <f t="shared" si="44"/>
        <v>44012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>
        <f t="shared" si="44"/>
        <v>44012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>
        <f t="shared" si="44"/>
        <v>44012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>
        <f t="shared" si="44"/>
        <v>44012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>
        <f t="shared" si="44"/>
        <v>44012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>
        <f t="shared" si="44"/>
        <v>44012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>
        <f t="shared" si="44"/>
        <v>44012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>
        <f t="shared" si="44"/>
        <v>44012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>
        <f t="shared" si="44"/>
        <v>44012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>
        <f t="shared" si="44"/>
        <v>44012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>
        <f t="shared" si="44"/>
        <v>44012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>
        <f t="shared" si="44"/>
        <v>44012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>
        <f t="shared" si="44"/>
        <v>44012</v>
      </c>
      <c r="D670" s="99" t="s">
        <v>583</v>
      </c>
      <c r="E670" s="473">
        <v>7</v>
      </c>
      <c r="F670" s="99" t="s">
        <v>582</v>
      </c>
      <c r="H670" s="99">
        <f>'Справка 6'!J42</f>
        <v>39809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>
        <f t="shared" si="44"/>
        <v>44012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>
        <f t="shared" si="44"/>
        <v>44012</v>
      </c>
      <c r="D672" s="99" t="s">
        <v>526</v>
      </c>
      <c r="E672" s="473">
        <v>8</v>
      </c>
      <c r="F672" s="99" t="s">
        <v>525</v>
      </c>
      <c r="H672" s="99">
        <f>'Справка 6'!K12</f>
        <v>199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>
        <f t="shared" si="44"/>
        <v>44012</v>
      </c>
      <c r="D673" s="99" t="s">
        <v>529</v>
      </c>
      <c r="E673" s="473">
        <v>8</v>
      </c>
      <c r="F673" s="99" t="s">
        <v>528</v>
      </c>
      <c r="H673" s="99">
        <f>'Справка 6'!K13</f>
        <v>98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>
        <f t="shared" si="44"/>
        <v>44012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>
        <f t="shared" si="44"/>
        <v>44012</v>
      </c>
      <c r="D675" s="99" t="s">
        <v>535</v>
      </c>
      <c r="E675" s="473">
        <v>8</v>
      </c>
      <c r="F675" s="99" t="s">
        <v>534</v>
      </c>
      <c r="H675" s="99">
        <f>'Справка 6'!K15</f>
        <v>21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>
        <f t="shared" si="44"/>
        <v>44012</v>
      </c>
      <c r="D676" s="99" t="s">
        <v>537</v>
      </c>
      <c r="E676" s="473">
        <v>8</v>
      </c>
      <c r="F676" s="99" t="s">
        <v>536</v>
      </c>
      <c r="H676" s="99">
        <f>'Справка 6'!K16</f>
        <v>96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>
        <f t="shared" si="44"/>
        <v>44012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>
        <f t="shared" si="44"/>
        <v>44012</v>
      </c>
      <c r="D678" s="99" t="s">
        <v>543</v>
      </c>
      <c r="E678" s="473">
        <v>8</v>
      </c>
      <c r="F678" s="99" t="s">
        <v>542</v>
      </c>
      <c r="H678" s="99">
        <f>'Справка 6'!K18</f>
        <v>542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>
        <f t="shared" si="44"/>
        <v>44012</v>
      </c>
      <c r="D679" s="99" t="s">
        <v>545</v>
      </c>
      <c r="E679" s="473">
        <v>8</v>
      </c>
      <c r="F679" s="99" t="s">
        <v>804</v>
      </c>
      <c r="H679" s="99">
        <f>'Справка 6'!K19</f>
        <v>956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>
        <f t="shared" si="44"/>
        <v>44012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>
        <f t="shared" si="44"/>
        <v>44012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>
        <f t="shared" si="44"/>
        <v>44012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>
        <f t="shared" si="44"/>
        <v>44012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>
        <f t="shared" si="44"/>
        <v>44012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>
        <f t="shared" si="44"/>
        <v>44012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>
        <f t="shared" si="44"/>
        <v>44012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>
        <f t="shared" si="44"/>
        <v>44012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>
        <f t="shared" si="44"/>
        <v>44012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>
        <f t="shared" si="44"/>
        <v>44012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>
        <f t="shared" si="44"/>
        <v>44012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>
        <f t="shared" si="44"/>
        <v>44012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>
        <f t="shared" si="44"/>
        <v>44012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>
        <f t="shared" si="44"/>
        <v>44012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>
        <f t="shared" si="44"/>
        <v>44012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>
        <f t="shared" si="44"/>
        <v>44012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>
        <f t="shared" si="44"/>
        <v>44012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>
        <f t="shared" si="44"/>
        <v>44012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>
        <f t="shared" si="44"/>
        <v>44012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>
        <f t="shared" si="44"/>
        <v>44012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>
        <f t="shared" si="44"/>
        <v>44012</v>
      </c>
      <c r="D700" s="99" t="s">
        <v>583</v>
      </c>
      <c r="E700" s="473">
        <v>8</v>
      </c>
      <c r="F700" s="99" t="s">
        <v>582</v>
      </c>
      <c r="H700" s="99">
        <f>'Справка 6'!K42</f>
        <v>1022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>
        <f t="shared" si="44"/>
        <v>44012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>
        <f t="shared" si="44"/>
        <v>44012</v>
      </c>
      <c r="D702" s="99" t="s">
        <v>526</v>
      </c>
      <c r="E702" s="473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>
        <f t="shared" si="44"/>
        <v>44012</v>
      </c>
      <c r="D703" s="99" t="s">
        <v>529</v>
      </c>
      <c r="E703" s="473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>
        <f t="shared" si="44"/>
        <v>44012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>
        <f t="shared" si="44"/>
        <v>44012</v>
      </c>
      <c r="D705" s="99" t="s">
        <v>535</v>
      </c>
      <c r="E705" s="473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>
        <f t="shared" si="44"/>
        <v>44012</v>
      </c>
      <c r="D706" s="99" t="s">
        <v>537</v>
      </c>
      <c r="E706" s="473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>
        <f t="shared" si="44"/>
        <v>44012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>
        <f t="shared" si="44"/>
        <v>44012</v>
      </c>
      <c r="D708" s="99" t="s">
        <v>543</v>
      </c>
      <c r="E708" s="473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>
        <f t="shared" si="44"/>
        <v>44012</v>
      </c>
      <c r="D709" s="99" t="s">
        <v>545</v>
      </c>
      <c r="E709" s="473">
        <v>9</v>
      </c>
      <c r="F709" s="99" t="s">
        <v>804</v>
      </c>
      <c r="H709" s="99">
        <f>'Справка 6'!L19</f>
        <v>49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>
        <f t="shared" si="44"/>
        <v>44012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>
        <f t="shared" si="44"/>
        <v>44012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>
        <f t="shared" si="44"/>
        <v>44012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>
        <f t="shared" si="44"/>
        <v>44012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>
        <f t="shared" si="44"/>
        <v>44012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>
        <f t="shared" si="44"/>
        <v>44012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>
        <f t="shared" si="44"/>
        <v>44012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>
        <f aca="true" t="shared" si="47" ref="C717:C780">endDate</f>
        <v>44012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>
        <f t="shared" si="47"/>
        <v>44012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>
        <f t="shared" si="47"/>
        <v>44012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>
        <f t="shared" si="47"/>
        <v>44012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>
        <f t="shared" si="47"/>
        <v>44012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>
        <f t="shared" si="47"/>
        <v>44012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>
        <f t="shared" si="47"/>
        <v>44012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>
        <f t="shared" si="47"/>
        <v>44012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>
        <f t="shared" si="47"/>
        <v>44012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>
        <f t="shared" si="47"/>
        <v>44012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>
        <f t="shared" si="47"/>
        <v>44012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>
        <f t="shared" si="47"/>
        <v>44012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>
        <f t="shared" si="47"/>
        <v>44012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>
        <f t="shared" si="47"/>
        <v>44012</v>
      </c>
      <c r="D730" s="99" t="s">
        <v>583</v>
      </c>
      <c r="E730" s="473">
        <v>9</v>
      </c>
      <c r="F730" s="99" t="s">
        <v>582</v>
      </c>
      <c r="H730" s="99">
        <f>'Справка 6'!L42</f>
        <v>49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>
        <f t="shared" si="47"/>
        <v>44012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>
        <f t="shared" si="47"/>
        <v>44012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>
        <f t="shared" si="47"/>
        <v>44012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>
        <f t="shared" si="47"/>
        <v>44012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>
        <f t="shared" si="47"/>
        <v>44012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>
        <f t="shared" si="47"/>
        <v>44012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>
        <f t="shared" si="47"/>
        <v>44012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>
        <f t="shared" si="47"/>
        <v>44012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>
        <f t="shared" si="47"/>
        <v>44012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>
        <f t="shared" si="47"/>
        <v>44012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>
        <f t="shared" si="47"/>
        <v>44012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>
        <f t="shared" si="47"/>
        <v>44012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>
        <f t="shared" si="47"/>
        <v>44012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>
        <f t="shared" si="47"/>
        <v>44012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>
        <f t="shared" si="47"/>
        <v>44012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>
        <f t="shared" si="47"/>
        <v>44012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>
        <f t="shared" si="47"/>
        <v>44012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>
        <f t="shared" si="47"/>
        <v>44012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>
        <f t="shared" si="47"/>
        <v>44012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>
        <f t="shared" si="47"/>
        <v>44012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>
        <f t="shared" si="47"/>
        <v>44012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>
        <f t="shared" si="47"/>
        <v>44012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>
        <f t="shared" si="47"/>
        <v>44012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>
        <f t="shared" si="47"/>
        <v>44012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>
        <f t="shared" si="47"/>
        <v>44012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>
        <f t="shared" si="47"/>
        <v>44012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>
        <f t="shared" si="47"/>
        <v>44012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>
        <f t="shared" si="47"/>
        <v>44012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>
        <f t="shared" si="47"/>
        <v>44012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>
        <f t="shared" si="47"/>
        <v>44012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>
        <f t="shared" si="47"/>
        <v>44012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>
        <f t="shared" si="47"/>
        <v>44012</v>
      </c>
      <c r="D762" s="99" t="s">
        <v>526</v>
      </c>
      <c r="E762" s="473">
        <v>11</v>
      </c>
      <c r="F762" s="99" t="s">
        <v>525</v>
      </c>
      <c r="H762" s="99">
        <f>'Справка 6'!N12</f>
        <v>209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>
        <f t="shared" si="47"/>
        <v>44012</v>
      </c>
      <c r="D763" s="99" t="s">
        <v>529</v>
      </c>
      <c r="E763" s="473">
        <v>11</v>
      </c>
      <c r="F763" s="99" t="s">
        <v>528</v>
      </c>
      <c r="H763" s="99">
        <f>'Справка 6'!N13</f>
        <v>98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>
        <f t="shared" si="47"/>
        <v>44012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>
        <f t="shared" si="47"/>
        <v>44012</v>
      </c>
      <c r="D765" s="99" t="s">
        <v>535</v>
      </c>
      <c r="E765" s="473">
        <v>11</v>
      </c>
      <c r="F765" s="99" t="s">
        <v>534</v>
      </c>
      <c r="H765" s="99">
        <f>'Справка 6'!N15</f>
        <v>32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>
        <f t="shared" si="47"/>
        <v>44012</v>
      </c>
      <c r="D766" s="99" t="s">
        <v>537</v>
      </c>
      <c r="E766" s="473">
        <v>11</v>
      </c>
      <c r="F766" s="99" t="s">
        <v>536</v>
      </c>
      <c r="H766" s="99">
        <f>'Справка 6'!N16</f>
        <v>97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>
        <f t="shared" si="47"/>
        <v>44012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>
        <f t="shared" si="47"/>
        <v>44012</v>
      </c>
      <c r="D768" s="99" t="s">
        <v>543</v>
      </c>
      <c r="E768" s="473">
        <v>11</v>
      </c>
      <c r="F768" s="99" t="s">
        <v>542</v>
      </c>
      <c r="H768" s="99">
        <f>'Справка 6'!N18</f>
        <v>569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>
        <f t="shared" si="47"/>
        <v>44012</v>
      </c>
      <c r="D769" s="99" t="s">
        <v>545</v>
      </c>
      <c r="E769" s="473">
        <v>11</v>
      </c>
      <c r="F769" s="99" t="s">
        <v>804</v>
      </c>
      <c r="H769" s="99">
        <f>'Справка 6'!N19</f>
        <v>1005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>
        <f t="shared" si="47"/>
        <v>44012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>
        <f t="shared" si="47"/>
        <v>44012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>
        <f t="shared" si="47"/>
        <v>44012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>
        <f t="shared" si="47"/>
        <v>44012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>
        <f t="shared" si="47"/>
        <v>44012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>
        <f t="shared" si="47"/>
        <v>44012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>
        <f t="shared" si="47"/>
        <v>44012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>
        <f t="shared" si="47"/>
        <v>44012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>
        <f t="shared" si="47"/>
        <v>44012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>
        <f t="shared" si="47"/>
        <v>44012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>
        <f t="shared" si="47"/>
        <v>44012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>
        <f aca="true" t="shared" si="50" ref="C781:C844">endDate</f>
        <v>44012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>
        <f t="shared" si="50"/>
        <v>44012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>
        <f t="shared" si="50"/>
        <v>44012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>
        <f t="shared" si="50"/>
        <v>44012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>
        <f t="shared" si="50"/>
        <v>44012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>
        <f t="shared" si="50"/>
        <v>44012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>
        <f t="shared" si="50"/>
        <v>44012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>
        <f t="shared" si="50"/>
        <v>44012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>
        <f t="shared" si="50"/>
        <v>44012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>
        <f t="shared" si="50"/>
        <v>44012</v>
      </c>
      <c r="D790" s="99" t="s">
        <v>583</v>
      </c>
      <c r="E790" s="473">
        <v>11</v>
      </c>
      <c r="F790" s="99" t="s">
        <v>582</v>
      </c>
      <c r="H790" s="99">
        <f>'Справка 6'!N42</f>
        <v>1071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>
        <f t="shared" si="50"/>
        <v>44012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>
        <f t="shared" si="50"/>
        <v>44012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>
        <f t="shared" si="50"/>
        <v>44012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>
        <f t="shared" si="50"/>
        <v>44012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>
        <f t="shared" si="50"/>
        <v>44012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>
        <f t="shared" si="50"/>
        <v>44012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>
        <f t="shared" si="50"/>
        <v>44012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>
        <f t="shared" si="50"/>
        <v>44012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>
        <f t="shared" si="50"/>
        <v>44012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>
        <f t="shared" si="50"/>
        <v>44012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>
        <f t="shared" si="50"/>
        <v>44012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>
        <f t="shared" si="50"/>
        <v>44012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>
        <f t="shared" si="50"/>
        <v>44012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>
        <f t="shared" si="50"/>
        <v>44012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>
        <f t="shared" si="50"/>
        <v>44012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>
        <f t="shared" si="50"/>
        <v>44012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>
        <f t="shared" si="50"/>
        <v>44012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>
        <f t="shared" si="50"/>
        <v>44012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>
        <f t="shared" si="50"/>
        <v>44012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>
        <f t="shared" si="50"/>
        <v>44012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>
        <f t="shared" si="50"/>
        <v>44012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>
        <f t="shared" si="50"/>
        <v>44012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>
        <f t="shared" si="50"/>
        <v>44012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>
        <f t="shared" si="50"/>
        <v>44012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>
        <f t="shared" si="50"/>
        <v>44012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>
        <f t="shared" si="50"/>
        <v>44012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>
        <f t="shared" si="50"/>
        <v>44012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>
        <f t="shared" si="50"/>
        <v>44012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>
        <f t="shared" si="50"/>
        <v>44012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>
        <f t="shared" si="50"/>
        <v>44012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>
        <f t="shared" si="50"/>
        <v>44012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>
        <f t="shared" si="50"/>
        <v>44012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>
        <f t="shared" si="50"/>
        <v>44012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>
        <f t="shared" si="50"/>
        <v>44012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>
        <f t="shared" si="50"/>
        <v>44012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>
        <f t="shared" si="50"/>
        <v>44012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>
        <f t="shared" si="50"/>
        <v>44012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>
        <f t="shared" si="50"/>
        <v>44012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>
        <f t="shared" si="50"/>
        <v>44012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>
        <f t="shared" si="50"/>
        <v>44012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>
        <f t="shared" si="50"/>
        <v>44012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>
        <f t="shared" si="50"/>
        <v>44012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>
        <f t="shared" si="50"/>
        <v>44012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>
        <f t="shared" si="50"/>
        <v>44012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>
        <f t="shared" si="50"/>
        <v>44012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>
        <f t="shared" si="50"/>
        <v>44012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>
        <f t="shared" si="50"/>
        <v>44012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>
        <f t="shared" si="50"/>
        <v>44012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>
        <f t="shared" si="50"/>
        <v>44012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>
        <f t="shared" si="50"/>
        <v>44012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>
        <f t="shared" si="50"/>
        <v>44012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>
        <f t="shared" si="50"/>
        <v>44012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>
        <f t="shared" si="50"/>
        <v>44012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>
        <f t="shared" si="50"/>
        <v>44012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>
        <f aca="true" t="shared" si="53" ref="C845:C910">endDate</f>
        <v>44012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>
        <f t="shared" si="53"/>
        <v>44012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>
        <f t="shared" si="53"/>
        <v>44012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>
        <f t="shared" si="53"/>
        <v>44012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>
        <f t="shared" si="53"/>
        <v>44012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>
        <f t="shared" si="53"/>
        <v>44012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>
        <f t="shared" si="53"/>
        <v>44012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>
        <f t="shared" si="53"/>
        <v>44012</v>
      </c>
      <c r="D852" s="99" t="s">
        <v>526</v>
      </c>
      <c r="E852" s="473">
        <v>14</v>
      </c>
      <c r="F852" s="99" t="s">
        <v>525</v>
      </c>
      <c r="H852" s="99">
        <f>'Справка 6'!Q12</f>
        <v>209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>
        <f t="shared" si="53"/>
        <v>44012</v>
      </c>
      <c r="D853" s="99" t="s">
        <v>529</v>
      </c>
      <c r="E853" s="473">
        <v>14</v>
      </c>
      <c r="F853" s="99" t="s">
        <v>528</v>
      </c>
      <c r="H853" s="99">
        <f>'Справка 6'!Q13</f>
        <v>98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>
        <f t="shared" si="53"/>
        <v>44012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>
        <f t="shared" si="53"/>
        <v>44012</v>
      </c>
      <c r="D855" s="99" t="s">
        <v>535</v>
      </c>
      <c r="E855" s="473">
        <v>14</v>
      </c>
      <c r="F855" s="99" t="s">
        <v>534</v>
      </c>
      <c r="H855" s="99">
        <f>'Справка 6'!Q15</f>
        <v>32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>
        <f t="shared" si="53"/>
        <v>44012</v>
      </c>
      <c r="D856" s="99" t="s">
        <v>537</v>
      </c>
      <c r="E856" s="473">
        <v>14</v>
      </c>
      <c r="F856" s="99" t="s">
        <v>536</v>
      </c>
      <c r="H856" s="99">
        <f>'Справка 6'!Q16</f>
        <v>97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>
        <f t="shared" si="53"/>
        <v>44012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>
        <f t="shared" si="53"/>
        <v>44012</v>
      </c>
      <c r="D858" s="99" t="s">
        <v>543</v>
      </c>
      <c r="E858" s="473">
        <v>14</v>
      </c>
      <c r="F858" s="99" t="s">
        <v>542</v>
      </c>
      <c r="H858" s="99">
        <f>'Справка 6'!Q18</f>
        <v>569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>
        <f t="shared" si="53"/>
        <v>44012</v>
      </c>
      <c r="D859" s="99" t="s">
        <v>545</v>
      </c>
      <c r="E859" s="473">
        <v>14</v>
      </c>
      <c r="F859" s="99" t="s">
        <v>804</v>
      </c>
      <c r="H859" s="99">
        <f>'Справка 6'!Q19</f>
        <v>1005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>
        <f t="shared" si="53"/>
        <v>44012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>
        <f t="shared" si="53"/>
        <v>44012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>
        <f t="shared" si="53"/>
        <v>44012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>
        <f t="shared" si="53"/>
        <v>44012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>
        <f t="shared" si="53"/>
        <v>44012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>
        <f t="shared" si="53"/>
        <v>44012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>
        <f t="shared" si="53"/>
        <v>44012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>
        <f t="shared" si="53"/>
        <v>44012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>
        <f t="shared" si="53"/>
        <v>44012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>
        <f t="shared" si="53"/>
        <v>44012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>
        <f t="shared" si="53"/>
        <v>44012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>
        <f t="shared" si="53"/>
        <v>44012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>
        <f t="shared" si="53"/>
        <v>44012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>
        <f t="shared" si="53"/>
        <v>44012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>
        <f t="shared" si="53"/>
        <v>44012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>
        <f t="shared" si="53"/>
        <v>44012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>
        <f t="shared" si="53"/>
        <v>44012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>
        <f t="shared" si="53"/>
        <v>44012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>
        <f t="shared" si="53"/>
        <v>44012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>
        <f t="shared" si="53"/>
        <v>44012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>
        <f t="shared" si="53"/>
        <v>44012</v>
      </c>
      <c r="D880" s="99" t="s">
        <v>583</v>
      </c>
      <c r="E880" s="473">
        <v>14</v>
      </c>
      <c r="F880" s="99" t="s">
        <v>582</v>
      </c>
      <c r="H880" s="99">
        <f>'Справка 6'!Q42</f>
        <v>1071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>
        <f t="shared" si="53"/>
        <v>44012</v>
      </c>
      <c r="D881" s="99" t="s">
        <v>523</v>
      </c>
      <c r="E881" s="473">
        <v>15</v>
      </c>
      <c r="F881" s="99" t="s">
        <v>522</v>
      </c>
      <c r="H881" s="99">
        <f>'Справка 6'!R11</f>
        <v>7422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>
        <f t="shared" si="53"/>
        <v>44012</v>
      </c>
      <c r="D882" s="99" t="s">
        <v>526</v>
      </c>
      <c r="E882" s="473">
        <v>15</v>
      </c>
      <c r="F882" s="99" t="s">
        <v>525</v>
      </c>
      <c r="H882" s="99">
        <f>'Справка 6'!R12</f>
        <v>294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>
        <f t="shared" si="53"/>
        <v>44012</v>
      </c>
      <c r="D883" s="99" t="s">
        <v>529</v>
      </c>
      <c r="E883" s="473">
        <v>15</v>
      </c>
      <c r="F883" s="99" t="s">
        <v>528</v>
      </c>
      <c r="H883" s="99">
        <f>'Справка 6'!R13</f>
        <v>16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>
        <f t="shared" si="53"/>
        <v>44012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>
        <f t="shared" si="53"/>
        <v>44012</v>
      </c>
      <c r="D885" s="99" t="s">
        <v>535</v>
      </c>
      <c r="E885" s="473">
        <v>15</v>
      </c>
      <c r="F885" s="99" t="s">
        <v>534</v>
      </c>
      <c r="H885" s="99">
        <f>'Справка 6'!R15</f>
        <v>74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>
        <f t="shared" si="53"/>
        <v>44012</v>
      </c>
      <c r="D886" s="99" t="s">
        <v>537</v>
      </c>
      <c r="E886" s="473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>
        <f t="shared" si="53"/>
        <v>44012</v>
      </c>
      <c r="D887" s="99" t="s">
        <v>540</v>
      </c>
      <c r="E887" s="473">
        <v>15</v>
      </c>
      <c r="F887" s="99" t="s">
        <v>539</v>
      </c>
      <c r="H887" s="99">
        <f>'Справка 6'!R17</f>
        <v>7273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>
        <f t="shared" si="53"/>
        <v>44012</v>
      </c>
      <c r="D888" s="99" t="s">
        <v>543</v>
      </c>
      <c r="E888" s="473">
        <v>15</v>
      </c>
      <c r="F888" s="99" t="s">
        <v>542</v>
      </c>
      <c r="H888" s="99">
        <f>'Справка 6'!R18</f>
        <v>18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>
        <f t="shared" si="53"/>
        <v>44012</v>
      </c>
      <c r="D889" s="99" t="s">
        <v>545</v>
      </c>
      <c r="E889" s="473">
        <v>15</v>
      </c>
      <c r="F889" s="99" t="s">
        <v>804</v>
      </c>
      <c r="H889" s="99">
        <f>'Справка 6'!R19</f>
        <v>15099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>
        <f t="shared" si="53"/>
        <v>44012</v>
      </c>
      <c r="D890" s="99" t="s">
        <v>547</v>
      </c>
      <c r="E890" s="473">
        <v>15</v>
      </c>
      <c r="F890" s="99" t="s">
        <v>546</v>
      </c>
      <c r="H890" s="99">
        <f>'Справка 6'!R20</f>
        <v>23639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>
        <f t="shared" si="53"/>
        <v>44012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>
        <f t="shared" si="53"/>
        <v>44012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>
        <f t="shared" si="53"/>
        <v>44012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>
        <f t="shared" si="53"/>
        <v>44012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>
        <f t="shared" si="53"/>
        <v>44012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>
        <f t="shared" si="53"/>
        <v>44012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>
        <f t="shared" si="53"/>
        <v>44012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>
        <f t="shared" si="53"/>
        <v>44012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>
        <f t="shared" si="53"/>
        <v>44012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>
        <f t="shared" si="53"/>
        <v>44012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>
        <f t="shared" si="53"/>
        <v>44012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>
        <f t="shared" si="53"/>
        <v>44012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>
        <f t="shared" si="53"/>
        <v>44012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>
        <f t="shared" si="53"/>
        <v>44012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>
        <f t="shared" si="53"/>
        <v>44012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>
        <f t="shared" si="53"/>
        <v>44012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>
        <f t="shared" si="53"/>
        <v>44012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>
        <f t="shared" si="53"/>
        <v>44012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>
        <f t="shared" si="53"/>
        <v>44012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>
        <f t="shared" si="53"/>
        <v>44012</v>
      </c>
      <c r="D910" s="99" t="s">
        <v>583</v>
      </c>
      <c r="E910" s="473">
        <v>15</v>
      </c>
      <c r="F910" s="99" t="s">
        <v>582</v>
      </c>
      <c r="H910" s="99">
        <f>'Справка 6'!R42</f>
        <v>38738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>
        <f aca="true" t="shared" si="56" ref="C912:C975">endDate</f>
        <v>44012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>
        <f t="shared" si="56"/>
        <v>44012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>
        <f t="shared" si="56"/>
        <v>44012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>
        <f t="shared" si="56"/>
        <v>44012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>
        <f t="shared" si="56"/>
        <v>44012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>
        <f t="shared" si="56"/>
        <v>44012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>
        <f t="shared" si="56"/>
        <v>44012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>
        <f t="shared" si="56"/>
        <v>44012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>
        <f t="shared" si="56"/>
        <v>44012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>
        <f t="shared" si="56"/>
        <v>44012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>
        <f t="shared" si="56"/>
        <v>44012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21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>
        <f t="shared" si="56"/>
        <v>44012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0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>
        <f t="shared" si="56"/>
        <v>44012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>
        <f t="shared" si="56"/>
        <v>44012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>
        <f t="shared" si="56"/>
        <v>44012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0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>
        <f t="shared" si="56"/>
        <v>44012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3431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>
        <f t="shared" si="56"/>
        <v>44012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41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>
        <f t="shared" si="56"/>
        <v>44012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>
        <f t="shared" si="56"/>
        <v>44012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>
        <f t="shared" si="56"/>
        <v>44012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>
        <f t="shared" si="56"/>
        <v>44012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10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>
        <f t="shared" si="56"/>
        <v>44012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>
        <f t="shared" si="56"/>
        <v>44012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>
        <f t="shared" si="56"/>
        <v>44012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>
        <f t="shared" si="56"/>
        <v>44012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10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>
        <f t="shared" si="56"/>
        <v>44012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1458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>
        <f t="shared" si="56"/>
        <v>44012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>
        <f t="shared" si="56"/>
        <v>44012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>
        <f t="shared" si="56"/>
        <v>44012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>
        <f t="shared" si="56"/>
        <v>44012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1458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>
        <f t="shared" si="56"/>
        <v>44012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4940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>
        <f t="shared" si="56"/>
        <v>44012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4961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>
        <f t="shared" si="56"/>
        <v>44012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>
        <f t="shared" si="56"/>
        <v>44012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>
        <f t="shared" si="56"/>
        <v>44012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>
        <f t="shared" si="56"/>
        <v>44012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>
        <f t="shared" si="56"/>
        <v>44012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>
        <f t="shared" si="56"/>
        <v>44012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>
        <f t="shared" si="56"/>
        <v>44012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>
        <f t="shared" si="56"/>
        <v>44012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>
        <f t="shared" si="56"/>
        <v>44012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>
        <f t="shared" si="56"/>
        <v>44012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>
        <f t="shared" si="56"/>
        <v>44012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>
        <f t="shared" si="56"/>
        <v>44012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>
        <f t="shared" si="56"/>
        <v>44012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>
        <f t="shared" si="56"/>
        <v>44012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>
        <f t="shared" si="56"/>
        <v>44012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>
        <f t="shared" si="56"/>
        <v>44012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>
        <f t="shared" si="56"/>
        <v>44012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>
        <f t="shared" si="56"/>
        <v>44012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>
        <f t="shared" si="56"/>
        <v>44012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>
        <f t="shared" si="56"/>
        <v>44012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>
        <f t="shared" si="56"/>
        <v>44012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>
        <f t="shared" si="56"/>
        <v>44012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>
        <f t="shared" si="56"/>
        <v>44012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>
        <f t="shared" si="56"/>
        <v>44012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>
        <f t="shared" si="56"/>
        <v>44012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>
        <f t="shared" si="56"/>
        <v>44012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>
        <f t="shared" si="56"/>
        <v>44012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>
        <f t="shared" si="56"/>
        <v>44012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>
        <f t="shared" si="56"/>
        <v>44012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>
        <f t="shared" si="56"/>
        <v>44012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>
        <f t="shared" si="56"/>
        <v>44012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>
        <f t="shared" si="56"/>
        <v>44012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>
        <f aca="true" t="shared" si="59" ref="C976:C1039">endDate</f>
        <v>44012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>
        <f t="shared" si="59"/>
        <v>44012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>
        <f t="shared" si="59"/>
        <v>44012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>
        <f t="shared" si="59"/>
        <v>44012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>
        <f t="shared" si="59"/>
        <v>44012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>
        <f t="shared" si="59"/>
        <v>44012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>
        <f t="shared" si="59"/>
        <v>44012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>
        <f t="shared" si="59"/>
        <v>44012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>
        <f t="shared" si="59"/>
        <v>44012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>
        <f t="shared" si="59"/>
        <v>44012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>
        <f t="shared" si="59"/>
        <v>44012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21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>
        <f t="shared" si="59"/>
        <v>44012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0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>
        <f t="shared" si="59"/>
        <v>44012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>
        <f t="shared" si="59"/>
        <v>44012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>
        <f t="shared" si="59"/>
        <v>44012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0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>
        <f t="shared" si="59"/>
        <v>44012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3431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>
        <f t="shared" si="59"/>
        <v>44012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41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>
        <f t="shared" si="59"/>
        <v>44012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>
        <f t="shared" si="59"/>
        <v>44012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>
        <f t="shared" si="59"/>
        <v>44012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>
        <f t="shared" si="59"/>
        <v>44012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10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>
        <f t="shared" si="59"/>
        <v>44012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>
        <f t="shared" si="59"/>
        <v>44012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>
        <f t="shared" si="59"/>
        <v>44012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>
        <f t="shared" si="59"/>
        <v>44012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10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>
        <f t="shared" si="59"/>
        <v>44012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1458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>
        <f t="shared" si="59"/>
        <v>44012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>
        <f t="shared" si="59"/>
        <v>44012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>
        <f t="shared" si="59"/>
        <v>44012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>
        <f t="shared" si="59"/>
        <v>44012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1458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>
        <f t="shared" si="59"/>
        <v>44012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4940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>
        <f t="shared" si="59"/>
        <v>44012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4961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>
        <f t="shared" si="59"/>
        <v>44012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>
        <f t="shared" si="59"/>
        <v>44012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>
        <f t="shared" si="59"/>
        <v>44012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>
        <f t="shared" si="59"/>
        <v>44012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>
        <f t="shared" si="59"/>
        <v>44012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11735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>
        <f t="shared" si="59"/>
        <v>44012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0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>
        <f t="shared" si="59"/>
        <v>44012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>
        <f t="shared" si="59"/>
        <v>44012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11735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>
        <f t="shared" si="59"/>
        <v>44012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>
        <f t="shared" si="59"/>
        <v>44012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>
        <f t="shared" si="59"/>
        <v>44012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>
        <f t="shared" si="59"/>
        <v>44012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>
        <f t="shared" si="59"/>
        <v>44012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4428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>
        <f t="shared" si="59"/>
        <v>44012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0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>
        <f t="shared" si="59"/>
        <v>44012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16163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>
        <f t="shared" si="59"/>
        <v>44012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>
        <f t="shared" si="59"/>
        <v>44012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>
        <f t="shared" si="59"/>
        <v>44012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>
        <f t="shared" si="59"/>
        <v>44012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>
        <f t="shared" si="59"/>
        <v>44012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>
        <f t="shared" si="59"/>
        <v>44012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72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>
        <f t="shared" si="59"/>
        <v>44012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>
        <f t="shared" si="59"/>
        <v>44012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>
        <f t="shared" si="59"/>
        <v>44012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72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>
        <f t="shared" si="59"/>
        <v>44012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>
        <f t="shared" si="59"/>
        <v>44012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0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>
        <f t="shared" si="59"/>
        <v>44012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>
        <f t="shared" si="59"/>
        <v>44012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0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>
        <f t="shared" si="59"/>
        <v>44012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0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>
        <f t="shared" si="59"/>
        <v>44012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>
        <f t="shared" si="59"/>
        <v>44012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2898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>
        <f t="shared" si="59"/>
        <v>44012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>
        <f aca="true" t="shared" si="62" ref="C1040:C1103">endDate</f>
        <v>44012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583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>
        <f t="shared" si="62"/>
        <v>44012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2023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>
        <f t="shared" si="62"/>
        <v>44012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217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>
        <f t="shared" si="62"/>
        <v>44012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13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>
        <f t="shared" si="62"/>
        <v>44012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>
        <f t="shared" si="62"/>
        <v>44012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0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>
        <f t="shared" si="62"/>
        <v>44012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13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>
        <f t="shared" si="62"/>
        <v>44012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62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>
        <f t="shared" si="62"/>
        <v>44012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27349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>
        <f t="shared" si="62"/>
        <v>44012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30319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>
        <f t="shared" si="62"/>
        <v>44012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46482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>
        <f t="shared" si="62"/>
        <v>44012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>
        <f t="shared" si="62"/>
        <v>44012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>
        <f t="shared" si="62"/>
        <v>44012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>
        <f t="shared" si="62"/>
        <v>44012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>
        <f t="shared" si="62"/>
        <v>44012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>
        <f t="shared" si="62"/>
        <v>44012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>
        <f t="shared" si="62"/>
        <v>44012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>
        <f t="shared" si="62"/>
        <v>44012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>
        <f t="shared" si="62"/>
        <v>44012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>
        <f t="shared" si="62"/>
        <v>44012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>
        <f t="shared" si="62"/>
        <v>44012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>
        <f t="shared" si="62"/>
        <v>44012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>
        <f t="shared" si="62"/>
        <v>44012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>
        <f t="shared" si="62"/>
        <v>44012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>
        <f t="shared" si="62"/>
        <v>44012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>
        <f t="shared" si="62"/>
        <v>44012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>
        <f t="shared" si="62"/>
        <v>44012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>
        <f t="shared" si="62"/>
        <v>44012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>
        <f t="shared" si="62"/>
        <v>44012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>
        <f t="shared" si="62"/>
        <v>44012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>
        <f t="shared" si="62"/>
        <v>44012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>
        <f t="shared" si="62"/>
        <v>44012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>
        <f t="shared" si="62"/>
        <v>44012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>
        <f t="shared" si="62"/>
        <v>44012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>
        <f t="shared" si="62"/>
        <v>44012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>
        <f t="shared" si="62"/>
        <v>44012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>
        <f t="shared" si="62"/>
        <v>44012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>
        <f t="shared" si="62"/>
        <v>44012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0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>
        <f t="shared" si="62"/>
        <v>44012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>
        <f t="shared" si="62"/>
        <v>44012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>
        <f t="shared" si="62"/>
        <v>44012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0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>
        <f t="shared" si="62"/>
        <v>44012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>
        <f t="shared" si="62"/>
        <v>44012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>
        <f t="shared" si="62"/>
        <v>44012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0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>
        <f t="shared" si="62"/>
        <v>44012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0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>
        <f t="shared" si="62"/>
        <v>44012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>
        <f t="shared" si="62"/>
        <v>44012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>
        <f t="shared" si="62"/>
        <v>44012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0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>
        <f t="shared" si="62"/>
        <v>44012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>
        <f t="shared" si="62"/>
        <v>44012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0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>
        <f t="shared" si="62"/>
        <v>44012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>
        <f t="shared" si="62"/>
        <v>44012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0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>
        <f t="shared" si="62"/>
        <v>44012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0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>
        <f t="shared" si="62"/>
        <v>44012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>
        <f t="shared" si="62"/>
        <v>44012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>
        <f t="shared" si="62"/>
        <v>44012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>
        <f t="shared" si="62"/>
        <v>44012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>
        <f t="shared" si="62"/>
        <v>44012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11735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>
        <f t="shared" si="62"/>
        <v>44012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0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>
        <f t="shared" si="62"/>
        <v>44012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>
        <f t="shared" si="62"/>
        <v>44012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11735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>
        <f t="shared" si="62"/>
        <v>44012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>
        <f t="shared" si="62"/>
        <v>44012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>
        <f aca="true" t="shared" si="65" ref="C1104:C1167">endDate</f>
        <v>44012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>
        <f t="shared" si="65"/>
        <v>44012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>
        <f t="shared" si="65"/>
        <v>44012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4428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>
        <f t="shared" si="65"/>
        <v>44012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0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>
        <f t="shared" si="65"/>
        <v>44012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16163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>
        <f t="shared" si="65"/>
        <v>44012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>
        <f t="shared" si="65"/>
        <v>44012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>
        <f t="shared" si="65"/>
        <v>44012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>
        <f t="shared" si="65"/>
        <v>44012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>
        <f t="shared" si="65"/>
        <v>44012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>
        <f t="shared" si="65"/>
        <v>44012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72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>
        <f t="shared" si="65"/>
        <v>44012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>
        <f t="shared" si="65"/>
        <v>44012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>
        <f t="shared" si="65"/>
        <v>44012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72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>
        <f t="shared" si="65"/>
        <v>44012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>
        <f t="shared" si="65"/>
        <v>44012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0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>
        <f t="shared" si="65"/>
        <v>44012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>
        <f t="shared" si="65"/>
        <v>44012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>
        <f t="shared" si="65"/>
        <v>44012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>
        <f t="shared" si="65"/>
        <v>44012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>
        <f t="shared" si="65"/>
        <v>44012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2898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>
        <f t="shared" si="65"/>
        <v>44012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>
        <f t="shared" si="65"/>
        <v>44012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583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>
        <f t="shared" si="65"/>
        <v>44012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2023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>
        <f t="shared" si="65"/>
        <v>44012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217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>
        <f t="shared" si="65"/>
        <v>44012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13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>
        <f t="shared" si="65"/>
        <v>44012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>
        <f t="shared" si="65"/>
        <v>44012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>
        <f t="shared" si="65"/>
        <v>44012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13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>
        <f t="shared" si="65"/>
        <v>44012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62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>
        <f t="shared" si="65"/>
        <v>44012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27349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>
        <f t="shared" si="65"/>
        <v>44012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30319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>
        <f t="shared" si="65"/>
        <v>44012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46482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>
        <f t="shared" si="65"/>
        <v>44012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>
        <f t="shared" si="65"/>
        <v>44012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>
        <f t="shared" si="65"/>
        <v>44012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>
        <f t="shared" si="65"/>
        <v>44012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>
        <f t="shared" si="65"/>
        <v>44012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>
        <f t="shared" si="65"/>
        <v>44012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>
        <f t="shared" si="65"/>
        <v>44012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>
        <f t="shared" si="65"/>
        <v>44012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>
        <f t="shared" si="65"/>
        <v>44012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>
        <f t="shared" si="65"/>
        <v>44012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>
        <f t="shared" si="65"/>
        <v>44012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>
        <f t="shared" si="65"/>
        <v>44012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>
        <f t="shared" si="65"/>
        <v>44012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>
        <f t="shared" si="65"/>
        <v>44012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>
        <f t="shared" si="65"/>
        <v>44012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>
        <f t="shared" si="65"/>
        <v>44012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>
        <f t="shared" si="65"/>
        <v>44012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>
        <f t="shared" si="65"/>
        <v>44012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>
        <f t="shared" si="65"/>
        <v>44012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>
        <f t="shared" si="65"/>
        <v>44012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>
        <f t="shared" si="65"/>
        <v>44012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>
        <f t="shared" si="65"/>
        <v>44012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>
        <f t="shared" si="65"/>
        <v>44012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>
        <f t="shared" si="65"/>
        <v>44012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>
        <f t="shared" si="65"/>
        <v>44012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>
        <f t="shared" si="65"/>
        <v>44012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>
        <f t="shared" si="65"/>
        <v>44012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>
        <f t="shared" si="65"/>
        <v>44012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>
        <f t="shared" si="65"/>
        <v>44012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>
        <f t="shared" si="65"/>
        <v>44012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>
        <f t="shared" si="65"/>
        <v>44012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>
        <f aca="true" t="shared" si="68" ref="C1168:C1195">endDate</f>
        <v>44012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>
        <f t="shared" si="68"/>
        <v>44012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>
        <f t="shared" si="68"/>
        <v>44012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>
        <f t="shared" si="68"/>
        <v>44012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>
        <f t="shared" si="68"/>
        <v>44012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>
        <f t="shared" si="68"/>
        <v>44012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>
        <f t="shared" si="68"/>
        <v>44012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>
        <f t="shared" si="68"/>
        <v>44012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>
        <f t="shared" si="68"/>
        <v>44012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>
        <f t="shared" si="68"/>
        <v>44012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>
        <f t="shared" si="68"/>
        <v>44012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>
        <f t="shared" si="68"/>
        <v>44012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>
        <f t="shared" si="68"/>
        <v>44012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>
        <f t="shared" si="68"/>
        <v>44012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>
        <f t="shared" si="68"/>
        <v>44012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>
        <f t="shared" si="68"/>
        <v>44012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>
        <f t="shared" si="68"/>
        <v>44012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>
        <f t="shared" si="68"/>
        <v>44012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>
        <f t="shared" si="68"/>
        <v>44012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>
        <f t="shared" si="68"/>
        <v>44012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>
        <f t="shared" si="68"/>
        <v>44012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>
        <f t="shared" si="68"/>
        <v>44012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>
        <f t="shared" si="68"/>
        <v>44012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>
        <f t="shared" si="68"/>
        <v>44012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>
        <f t="shared" si="68"/>
        <v>44012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>
        <f t="shared" si="68"/>
        <v>44012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>
        <f t="shared" si="68"/>
        <v>44012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>
        <f t="shared" si="68"/>
        <v>44012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>
        <f t="shared" si="71"/>
        <v>44012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>
        <f t="shared" si="71"/>
        <v>44012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>
        <f t="shared" si="71"/>
        <v>44012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>
        <f t="shared" si="71"/>
        <v>44012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>
        <f t="shared" si="71"/>
        <v>44012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>
        <f t="shared" si="71"/>
        <v>44012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>
        <f t="shared" si="71"/>
        <v>44012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>
        <f t="shared" si="71"/>
        <v>44012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>
        <f t="shared" si="71"/>
        <v>44012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>
        <f t="shared" si="71"/>
        <v>44012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>
        <f t="shared" si="71"/>
        <v>44012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>
        <f t="shared" si="71"/>
        <v>44012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>
        <f t="shared" si="71"/>
        <v>44012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>
        <f t="shared" si="71"/>
        <v>44012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>
        <f t="shared" si="71"/>
        <v>44012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>
        <f t="shared" si="71"/>
        <v>44012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>
        <f t="shared" si="71"/>
        <v>44012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>
        <f t="shared" si="71"/>
        <v>44012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>
        <f t="shared" si="71"/>
        <v>44012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>
        <f t="shared" si="71"/>
        <v>44012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>
        <f t="shared" si="71"/>
        <v>44012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>
        <f t="shared" si="71"/>
        <v>44012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>
        <f t="shared" si="71"/>
        <v>44012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>
        <f t="shared" si="71"/>
        <v>44012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>
        <f t="shared" si="71"/>
        <v>44012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>
        <f t="shared" si="71"/>
        <v>44012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>
        <f t="shared" si="71"/>
        <v>44012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>
        <f t="shared" si="71"/>
        <v>44012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>
        <f t="shared" si="71"/>
        <v>44012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>
        <f t="shared" si="71"/>
        <v>44012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>
        <f t="shared" si="71"/>
        <v>44012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>
        <f t="shared" si="74"/>
        <v>44012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>
        <f t="shared" si="74"/>
        <v>44012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>
        <f t="shared" si="74"/>
        <v>44012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>
        <f t="shared" si="74"/>
        <v>44012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>
        <f t="shared" si="74"/>
        <v>44012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>
        <f t="shared" si="74"/>
        <v>44012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>
        <f t="shared" si="74"/>
        <v>44012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>
        <f t="shared" si="74"/>
        <v>44012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>
        <f t="shared" si="74"/>
        <v>44012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>
        <f t="shared" si="74"/>
        <v>44012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>
        <f t="shared" si="74"/>
        <v>44012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>
        <f t="shared" si="74"/>
        <v>44012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>
        <f t="shared" si="74"/>
        <v>44012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>
        <f t="shared" si="74"/>
        <v>44012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>
        <f t="shared" si="74"/>
        <v>44012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>
        <f t="shared" si="74"/>
        <v>44012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>
        <f t="shared" si="74"/>
        <v>44012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>
        <f t="shared" si="74"/>
        <v>44012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>
        <f t="shared" si="74"/>
        <v>44012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>
        <f t="shared" si="74"/>
        <v>44012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>
        <f t="shared" si="74"/>
        <v>44012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>
        <f t="shared" si="74"/>
        <v>44012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>
        <f t="shared" si="74"/>
        <v>44012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>
        <f t="shared" si="74"/>
        <v>44012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>
        <f t="shared" si="74"/>
        <v>44012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>
        <f t="shared" si="74"/>
        <v>44012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>
        <f t="shared" si="74"/>
        <v>44012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>
        <f t="shared" si="74"/>
        <v>44012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>
        <f t="shared" si="74"/>
        <v>44012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>
        <f t="shared" si="74"/>
        <v>44012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>
        <f t="shared" si="74"/>
        <v>44012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>
        <f t="shared" si="77"/>
        <v>44012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>
        <f t="shared" si="77"/>
        <v>44012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>
        <f t="shared" si="77"/>
        <v>44012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>
        <f t="shared" si="77"/>
        <v>44012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>
        <f t="shared" si="77"/>
        <v>44012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>
        <f t="shared" si="77"/>
        <v>44012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>
        <f t="shared" si="77"/>
        <v>44012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>
        <f t="shared" si="77"/>
        <v>44012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>
        <f t="shared" si="77"/>
        <v>44012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>
        <f t="shared" si="77"/>
        <v>44012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>
        <f t="shared" si="77"/>
        <v>44012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>
        <f t="shared" si="77"/>
        <v>44012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>
        <f t="shared" si="77"/>
        <v>44012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>
        <f t="shared" si="77"/>
        <v>44012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>
        <f t="shared" si="77"/>
        <v>44012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>
        <f t="shared" si="77"/>
        <v>44012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>
        <f t="shared" si="77"/>
        <v>44012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>
        <f t="shared" si="77"/>
        <v>44012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>
        <f t="shared" si="77"/>
        <v>44012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>
        <f t="shared" si="77"/>
        <v>44012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>
        <f t="shared" si="77"/>
        <v>44012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>
        <f t="shared" si="77"/>
        <v>44012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>
        <f t="shared" si="77"/>
        <v>44012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>
        <f t="shared" si="77"/>
        <v>44012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>
        <f t="shared" si="77"/>
        <v>44012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>
        <f t="shared" si="77"/>
        <v>44012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>
        <f t="shared" si="77"/>
        <v>44012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>
        <f t="shared" si="77"/>
        <v>44012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>
        <f t="shared" si="77"/>
        <v>44012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>
        <f t="shared" si="77"/>
        <v>44012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>
        <f t="shared" si="77"/>
        <v>44012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>
        <f t="shared" si="77"/>
        <v>44012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>
        <f t="shared" si="77"/>
        <v>44012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80" zoomScalePageLayoutView="0" workbookViewId="0" topLeftCell="A1">
      <selection activeCell="H59" sqref="H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7422</v>
      </c>
      <c r="D12" s="188">
        <v>7422</v>
      </c>
      <c r="E12" s="84" t="s">
        <v>25</v>
      </c>
      <c r="F12" s="87" t="s">
        <v>26</v>
      </c>
      <c r="G12" s="188">
        <f>6011+5+10-5-10</f>
        <v>6011</v>
      </c>
      <c r="H12" s="188">
        <f>6011+5+10-5-10</f>
        <v>6011</v>
      </c>
    </row>
    <row r="13" spans="1:8" ht="15.75">
      <c r="A13" s="84" t="s">
        <v>27</v>
      </c>
      <c r="B13" s="86" t="s">
        <v>28</v>
      </c>
      <c r="C13" s="188">
        <v>294</v>
      </c>
      <c r="D13" s="188">
        <v>304</v>
      </c>
      <c r="E13" s="84" t="s">
        <v>821</v>
      </c>
      <c r="F13" s="87" t="s">
        <v>29</v>
      </c>
      <c r="G13" s="188">
        <v>6011</v>
      </c>
      <c r="H13" s="188">
        <v>6011</v>
      </c>
    </row>
    <row r="14" spans="1:8" ht="15.75">
      <c r="A14" s="84" t="s">
        <v>30</v>
      </c>
      <c r="B14" s="86" t="s">
        <v>31</v>
      </c>
      <c r="C14" s="188">
        <v>16</v>
      </c>
      <c r="D14" s="188">
        <v>16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74</v>
      </c>
      <c r="D16" s="188">
        <v>85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</v>
      </c>
      <c r="D17" s="188">
        <v>3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7273</v>
      </c>
      <c r="D18" s="188">
        <v>7273</v>
      </c>
      <c r="E18" s="459" t="s">
        <v>47</v>
      </c>
      <c r="F18" s="458" t="s">
        <v>48</v>
      </c>
      <c r="G18" s="569">
        <f>G12+G15+G16+G17</f>
        <v>6011</v>
      </c>
      <c r="H18" s="570">
        <f>H12+H15+H16+H17</f>
        <v>6011</v>
      </c>
    </row>
    <row r="19" spans="1:8" ht="15.75">
      <c r="A19" s="84" t="s">
        <v>49</v>
      </c>
      <c r="B19" s="86" t="s">
        <v>50</v>
      </c>
      <c r="C19" s="188">
        <v>18</v>
      </c>
      <c r="D19" s="188">
        <v>45</v>
      </c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15099</v>
      </c>
      <c r="D20" s="558">
        <f>SUM(D12:D19)</f>
        <v>15148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23639</v>
      </c>
      <c r="D21" s="454">
        <v>23695</v>
      </c>
      <c r="E21" s="84" t="s">
        <v>58</v>
      </c>
      <c r="F21" s="87" t="s">
        <v>59</v>
      </c>
      <c r="G21" s="188">
        <v>7381</v>
      </c>
      <c r="H21" s="188">
        <v>7381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8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15033</v>
      </c>
      <c r="H26" s="558">
        <f>H20+H21+H22</f>
        <v>15033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-21747</v>
      </c>
      <c r="H28" s="556">
        <f>SUM(H29:H31)</f>
        <v>-19761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9768</v>
      </c>
      <c r="H29" s="188">
        <f>9769-1</f>
        <v>9768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v>-31515</v>
      </c>
      <c r="H30" s="188">
        <f>-29529</f>
        <v>-29529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f>-257-143-7+2</f>
        <v>-405</v>
      </c>
      <c r="H33" s="188">
        <f>-66-1917-7+4</f>
        <v>-1986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-22152</v>
      </c>
      <c r="H34" s="558">
        <f>H28+H32+H33</f>
        <v>-21747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>
        <f>5+10-5-10</f>
        <v>0</v>
      </c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-1108</v>
      </c>
      <c r="H37" s="560">
        <f>H26+H18+H34</f>
        <v>-703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11735</v>
      </c>
      <c r="H45" s="188">
        <f>11735</f>
        <v>11735</v>
      </c>
    </row>
    <row r="46" spans="1:13" ht="15.75">
      <c r="A46" s="451" t="s">
        <v>137</v>
      </c>
      <c r="B46" s="90" t="s">
        <v>138</v>
      </c>
      <c r="C46" s="557">
        <f>C35+C40+C45</f>
        <v>0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1465+2963</f>
        <v>4428</v>
      </c>
      <c r="H49" s="188">
        <f>1335+2346+31</f>
        <v>3712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16163</v>
      </c>
      <c r="H50" s="556">
        <f>SUM(H44:H49)</f>
        <v>15447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38759</v>
      </c>
      <c r="D56" s="562">
        <f>D20+D21+D22+D28+D33+D46+D52+D54+D55</f>
        <v>38864</v>
      </c>
      <c r="E56" s="94" t="s">
        <v>825</v>
      </c>
      <c r="F56" s="93" t="s">
        <v>172</v>
      </c>
      <c r="G56" s="559">
        <f>G50+G52+G53+G54+G55</f>
        <v>16163</v>
      </c>
      <c r="H56" s="560">
        <f>H50+H52+H53+H54+H55</f>
        <v>15447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598</v>
      </c>
      <c r="D59" s="188">
        <v>594</v>
      </c>
      <c r="E59" s="192" t="s">
        <v>180</v>
      </c>
      <c r="F59" s="464" t="s">
        <v>181</v>
      </c>
      <c r="G59" s="188">
        <v>72</v>
      </c>
      <c r="H59" s="188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362</v>
      </c>
      <c r="D61" s="188">
        <v>352</v>
      </c>
      <c r="E61" s="191" t="s">
        <v>188</v>
      </c>
      <c r="F61" s="87" t="s">
        <v>189</v>
      </c>
      <c r="G61" s="555">
        <f>SUM(G62:G68)</f>
        <v>2898</v>
      </c>
      <c r="H61" s="556">
        <f>SUM(H62:H68)</f>
        <v>3138</v>
      </c>
    </row>
    <row r="62" spans="1:13" ht="15.75">
      <c r="A62" s="84" t="s">
        <v>186</v>
      </c>
      <c r="B62" s="88" t="s">
        <v>187</v>
      </c>
      <c r="C62" s="188">
        <v>293</v>
      </c>
      <c r="D62" s="188">
        <v>293</v>
      </c>
      <c r="E62" s="191" t="s">
        <v>192</v>
      </c>
      <c r="F62" s="87" t="s">
        <v>193</v>
      </c>
      <c r="G62" s="188">
        <f>13+1332+75-13-1332-75</f>
        <v>0</v>
      </c>
      <c r="H62" s="188">
        <f>13+1762+75-13-1762-75</f>
        <v>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387+196</f>
        <v>583</v>
      </c>
      <c r="H64" s="188">
        <f>414+346</f>
        <v>760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1253</v>
      </c>
      <c r="D65" s="558">
        <f>SUM(D59:D64)</f>
        <v>1239</v>
      </c>
      <c r="E65" s="84" t="s">
        <v>201</v>
      </c>
      <c r="F65" s="87" t="s">
        <v>202</v>
      </c>
      <c r="G65" s="188">
        <f>1955+68</f>
        <v>2023</v>
      </c>
      <c r="H65" s="188">
        <f>1951+55</f>
        <v>2006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177+33+7</f>
        <v>217</v>
      </c>
      <c r="H66" s="188">
        <f>161+16+3</f>
        <v>180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13+21+28</f>
        <v>62</v>
      </c>
      <c r="H67" s="188">
        <f>6+68+26</f>
        <v>100</v>
      </c>
    </row>
    <row r="68" spans="1:8" ht="15.75">
      <c r="A68" s="84" t="s">
        <v>206</v>
      </c>
      <c r="B68" s="86" t="s">
        <v>207</v>
      </c>
      <c r="C68" s="188">
        <f>1332+13+75-1332-13-75</f>
        <v>0</v>
      </c>
      <c r="D68" s="188">
        <f>1797+88-1762-13-75</f>
        <v>35</v>
      </c>
      <c r="E68" s="84" t="s">
        <v>212</v>
      </c>
      <c r="F68" s="87" t="s">
        <v>213</v>
      </c>
      <c r="G68" s="188">
        <f>6+7</f>
        <v>13</v>
      </c>
      <c r="H68" s="188">
        <f>58+27+7</f>
        <v>92</v>
      </c>
    </row>
    <row r="69" spans="1:8" ht="15.75">
      <c r="A69" s="84" t="s">
        <v>210</v>
      </c>
      <c r="B69" s="86" t="s">
        <v>211</v>
      </c>
      <c r="C69" s="188">
        <f>3174+330+2-75</f>
        <v>3431</v>
      </c>
      <c r="D69" s="188">
        <f>3083+252+2</f>
        <v>3337</v>
      </c>
      <c r="E69" s="192" t="s">
        <v>79</v>
      </c>
      <c r="F69" s="87" t="s">
        <v>216</v>
      </c>
      <c r="G69" s="188">
        <f>27177+139+31+2</f>
        <v>27349</v>
      </c>
      <c r="H69" s="188">
        <f>27208+277</f>
        <v>27485</v>
      </c>
    </row>
    <row r="70" spans="1:8" ht="15.75">
      <c r="A70" s="84" t="s">
        <v>214</v>
      </c>
      <c r="B70" s="86" t="s">
        <v>215</v>
      </c>
      <c r="C70" s="188">
        <f>38+3</f>
        <v>41</v>
      </c>
      <c r="D70" s="188">
        <f>38+3</f>
        <v>41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30319</v>
      </c>
      <c r="H71" s="558">
        <f>H59+H60+H61+H69+H70</f>
        <v>30623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10</v>
      </c>
      <c r="D73" s="188">
        <v>10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68+1390</f>
        <v>1458</v>
      </c>
      <c r="D75" s="188">
        <f>71+1551</f>
        <v>1622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4940</v>
      </c>
      <c r="D76" s="558">
        <f>SUM(D68:D75)</f>
        <v>5045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30319</v>
      </c>
      <c r="H79" s="560">
        <f>H71+H73+H75+H77</f>
        <v>30623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47+1</f>
        <v>48</v>
      </c>
      <c r="D88" s="188">
        <f>87+1</f>
        <v>88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24</v>
      </c>
      <c r="D89" s="188">
        <v>25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257</v>
      </c>
      <c r="D90" s="188">
        <v>13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329</v>
      </c>
      <c r="D92" s="558">
        <f>SUM(D88:D91)</f>
        <v>126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f>88+5</f>
        <v>93</v>
      </c>
      <c r="D93" s="456">
        <v>93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6615</v>
      </c>
      <c r="D94" s="562">
        <f>D65+D76+D85+D92+D93</f>
        <v>6503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45374</v>
      </c>
      <c r="D95" s="564">
        <f>D94+D56</f>
        <v>45367</v>
      </c>
      <c r="E95" s="220" t="s">
        <v>916</v>
      </c>
      <c r="F95" s="467" t="s">
        <v>268</v>
      </c>
      <c r="G95" s="563">
        <f>G37+G40+G56+G79</f>
        <v>45374</v>
      </c>
      <c r="H95" s="564">
        <f>H37+H40+H56+H79</f>
        <v>45367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6">
        <f>pdeReportingDate</f>
        <v>44103</v>
      </c>
      <c r="C98" s="686"/>
      <c r="D98" s="686"/>
      <c r="E98" s="686"/>
      <c r="F98" s="686"/>
      <c r="G98" s="686"/>
      <c r="H98" s="686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7" t="str">
        <f>authorName</f>
        <v>ОПТИМА ОДИТ АД</v>
      </c>
      <c r="C100" s="687"/>
      <c r="D100" s="687"/>
      <c r="E100" s="687"/>
      <c r="F100" s="687"/>
      <c r="G100" s="687"/>
      <c r="H100" s="687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8"/>
      <c r="C102" s="688"/>
      <c r="D102" s="688"/>
      <c r="E102" s="688"/>
      <c r="F102" s="688"/>
      <c r="G102" s="688"/>
      <c r="H102" s="688"/>
    </row>
    <row r="103" spans="1:13" ht="21.75" customHeight="1">
      <c r="A103" s="654"/>
      <c r="B103" s="685" t="s">
        <v>952</v>
      </c>
      <c r="C103" s="685"/>
      <c r="D103" s="685"/>
      <c r="E103" s="685"/>
      <c r="M103" s="92"/>
    </row>
    <row r="104" spans="1:5" ht="21.75" customHeight="1">
      <c r="A104" s="654"/>
      <c r="B104" s="685" t="s">
        <v>952</v>
      </c>
      <c r="C104" s="685"/>
      <c r="D104" s="685"/>
      <c r="E104" s="685"/>
    </row>
    <row r="105" spans="1:13" ht="21.75" customHeight="1">
      <c r="A105" s="654"/>
      <c r="B105" s="685" t="s">
        <v>952</v>
      </c>
      <c r="C105" s="685"/>
      <c r="D105" s="685"/>
      <c r="E105" s="685"/>
      <c r="M105" s="92"/>
    </row>
    <row r="106" spans="1:5" ht="21.75" customHeight="1">
      <c r="A106" s="654"/>
      <c r="B106" s="685" t="s">
        <v>952</v>
      </c>
      <c r="C106" s="685"/>
      <c r="D106" s="685"/>
      <c r="E106" s="685"/>
    </row>
    <row r="107" spans="1:13" ht="21.75" customHeight="1">
      <c r="A107" s="654"/>
      <c r="B107" s="685"/>
      <c r="C107" s="685"/>
      <c r="D107" s="685"/>
      <c r="E107" s="685"/>
      <c r="M107" s="92"/>
    </row>
    <row r="108" spans="1:5" ht="21.75" customHeight="1">
      <c r="A108" s="654"/>
      <c r="B108" s="685"/>
      <c r="C108" s="685"/>
      <c r="D108" s="685"/>
      <c r="E108" s="685"/>
    </row>
    <row r="109" spans="1:13" ht="21.75" customHeight="1">
      <c r="A109" s="654"/>
      <c r="B109" s="685"/>
      <c r="C109" s="685"/>
      <c r="D109" s="685"/>
      <c r="E109" s="685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C14" sqref="C14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66</v>
      </c>
      <c r="D12" s="305">
        <v>98</v>
      </c>
      <c r="E12" s="185" t="s">
        <v>277</v>
      </c>
      <c r="F12" s="231" t="s">
        <v>278</v>
      </c>
      <c r="G12" s="305">
        <v>21</v>
      </c>
      <c r="H12" s="305">
        <v>39</v>
      </c>
    </row>
    <row r="13" spans="1:8" ht="15.75">
      <c r="A13" s="185" t="s">
        <v>279</v>
      </c>
      <c r="B13" s="181" t="s">
        <v>280</v>
      </c>
      <c r="C13" s="305">
        <f>17+48</f>
        <v>65</v>
      </c>
      <c r="D13" s="305">
        <v>262</v>
      </c>
      <c r="E13" s="185" t="s">
        <v>281</v>
      </c>
      <c r="F13" s="231" t="s">
        <v>282</v>
      </c>
      <c r="G13" s="305">
        <f>64+1</f>
        <v>65</v>
      </c>
      <c r="H13" s="305"/>
    </row>
    <row r="14" spans="1:8" ht="15.75">
      <c r="A14" s="185" t="s">
        <v>283</v>
      </c>
      <c r="B14" s="181" t="s">
        <v>284</v>
      </c>
      <c r="C14" s="305">
        <f>27+24-1-1</f>
        <v>49</v>
      </c>
      <c r="D14" s="305">
        <v>39</v>
      </c>
      <c r="E14" s="236" t="s">
        <v>285</v>
      </c>
      <c r="F14" s="231" t="s">
        <v>286</v>
      </c>
      <c r="G14" s="305">
        <f>198</f>
        <v>198</v>
      </c>
      <c r="H14" s="305">
        <f>31+280+2-31</f>
        <v>282</v>
      </c>
    </row>
    <row r="15" spans="1:8" ht="15.75">
      <c r="A15" s="185" t="s">
        <v>287</v>
      </c>
      <c r="B15" s="181" t="s">
        <v>288</v>
      </c>
      <c r="C15" s="305">
        <f>20+189+6</f>
        <v>215</v>
      </c>
      <c r="D15" s="305">
        <v>185</v>
      </c>
      <c r="E15" s="236" t="s">
        <v>79</v>
      </c>
      <c r="F15" s="231" t="s">
        <v>289</v>
      </c>
      <c r="G15" s="305">
        <v>1</v>
      </c>
      <c r="H15" s="305">
        <f>87+2</f>
        <v>89</v>
      </c>
    </row>
    <row r="16" spans="1:8" ht="15.75">
      <c r="A16" s="185" t="s">
        <v>290</v>
      </c>
      <c r="B16" s="181" t="s">
        <v>291</v>
      </c>
      <c r="C16" s="305">
        <f>3+31+1</f>
        <v>35</v>
      </c>
      <c r="D16" s="305">
        <v>31</v>
      </c>
      <c r="E16" s="227" t="s">
        <v>52</v>
      </c>
      <c r="F16" s="255" t="s">
        <v>292</v>
      </c>
      <c r="G16" s="588">
        <f>SUM(G12:G15)</f>
        <v>285</v>
      </c>
      <c r="H16" s="589">
        <f>SUM(H12:H15)</f>
        <v>410</v>
      </c>
    </row>
    <row r="17" spans="1:8" ht="31.5">
      <c r="A17" s="185" t="s">
        <v>293</v>
      </c>
      <c r="B17" s="181" t="s">
        <v>294</v>
      </c>
      <c r="C17" s="305"/>
      <c r="D17" s="305">
        <v>30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5">
        <f>73+1</f>
        <v>74</v>
      </c>
      <c r="D19" s="305">
        <v>374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504</v>
      </c>
      <c r="D22" s="589">
        <f>SUM(D12:D18)+D19</f>
        <v>1019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f>181+3</f>
        <v>184</v>
      </c>
      <c r="D25" s="305">
        <v>1169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2</v>
      </c>
      <c r="D27" s="305"/>
      <c r="E27" s="227" t="s">
        <v>104</v>
      </c>
      <c r="F27" s="229" t="s">
        <v>326</v>
      </c>
      <c r="G27" s="588">
        <f>SUM(G22:G26)</f>
        <v>0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/>
      <c r="D28" s="305">
        <v>1276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186</v>
      </c>
      <c r="D29" s="589">
        <f>SUM(D25:D28)</f>
        <v>2445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690</v>
      </c>
      <c r="D31" s="595">
        <f>D29+D22</f>
        <v>3464</v>
      </c>
      <c r="E31" s="242" t="s">
        <v>800</v>
      </c>
      <c r="F31" s="257" t="s">
        <v>331</v>
      </c>
      <c r="G31" s="244">
        <f>G16+G18+G27</f>
        <v>285</v>
      </c>
      <c r="H31" s="245">
        <f>H16+H18+H27</f>
        <v>410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405</v>
      </c>
      <c r="H33" s="589">
        <f>IF((D31-H31)&gt;0,D31-H31,0)</f>
        <v>3054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690</v>
      </c>
      <c r="D36" s="597">
        <f>D31-D34+D35</f>
        <v>3464</v>
      </c>
      <c r="E36" s="253" t="s">
        <v>346</v>
      </c>
      <c r="F36" s="247" t="s">
        <v>347</v>
      </c>
      <c r="G36" s="258">
        <f>G35-G34+G31</f>
        <v>285</v>
      </c>
      <c r="H36" s="259">
        <f>H35-H34+H31</f>
        <v>410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405</v>
      </c>
      <c r="H37" s="245">
        <f>IF((D36-H36)&gt;0,D36-H36,0)</f>
        <v>3054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405</v>
      </c>
      <c r="H42" s="235">
        <f>IF(H37&gt;0,IF(D38+H37&lt;0,0,D38+H37),IF(D37-D38&lt;0,D38-D37,0))</f>
        <v>3054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405</v>
      </c>
      <c r="H44" s="259">
        <f>IF(D42=0,IF(H42-H43&gt;0,H42-H43+D43,0),IF(D42-D43&lt;0,D43-D42+H43,0))</f>
        <v>3054</v>
      </c>
    </row>
    <row r="45" spans="1:8" ht="16.5" thickBot="1">
      <c r="A45" s="261" t="s">
        <v>371</v>
      </c>
      <c r="B45" s="262" t="s">
        <v>372</v>
      </c>
      <c r="C45" s="590">
        <f>C36+C38+C42</f>
        <v>690</v>
      </c>
      <c r="D45" s="591">
        <f>D36+D38+D42</f>
        <v>3464</v>
      </c>
      <c r="E45" s="261" t="s">
        <v>373</v>
      </c>
      <c r="F45" s="263" t="s">
        <v>374</v>
      </c>
      <c r="G45" s="590">
        <f>G42+G36</f>
        <v>690</v>
      </c>
      <c r="H45" s="591">
        <f>H42+H36</f>
        <v>3464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9" t="s">
        <v>951</v>
      </c>
      <c r="B47" s="689"/>
      <c r="C47" s="689"/>
      <c r="D47" s="689"/>
      <c r="E47" s="689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6">
        <f>pdeReportingDate</f>
        <v>44103</v>
      </c>
      <c r="C50" s="686"/>
      <c r="D50" s="686"/>
      <c r="E50" s="686"/>
      <c r="F50" s="686"/>
      <c r="G50" s="686"/>
      <c r="H50" s="686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7" t="str">
        <f>authorName</f>
        <v>ОПТИМА ОДИТ АД</v>
      </c>
      <c r="C52" s="687"/>
      <c r="D52" s="687"/>
      <c r="E52" s="687"/>
      <c r="F52" s="687"/>
      <c r="G52" s="687"/>
      <c r="H52" s="687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8"/>
      <c r="C54" s="688"/>
      <c r="D54" s="688"/>
      <c r="E54" s="688"/>
      <c r="F54" s="688"/>
      <c r="G54" s="688"/>
      <c r="H54" s="688"/>
    </row>
    <row r="55" spans="1:8" ht="15.75" customHeight="1">
      <c r="A55" s="654"/>
      <c r="B55" s="685" t="s">
        <v>952</v>
      </c>
      <c r="C55" s="685"/>
      <c r="D55" s="685"/>
      <c r="E55" s="685"/>
      <c r="F55" s="534"/>
      <c r="G55" s="44"/>
      <c r="H55" s="41"/>
    </row>
    <row r="56" spans="1:8" ht="15.75" customHeight="1">
      <c r="A56" s="654"/>
      <c r="B56" s="685" t="s">
        <v>952</v>
      </c>
      <c r="C56" s="685"/>
      <c r="D56" s="685"/>
      <c r="E56" s="685"/>
      <c r="F56" s="534"/>
      <c r="G56" s="44"/>
      <c r="H56" s="41"/>
    </row>
    <row r="57" spans="1:8" ht="15.75" customHeight="1">
      <c r="A57" s="654"/>
      <c r="B57" s="685" t="s">
        <v>952</v>
      </c>
      <c r="C57" s="685"/>
      <c r="D57" s="685"/>
      <c r="E57" s="685"/>
      <c r="F57" s="534"/>
      <c r="G57" s="44"/>
      <c r="H57" s="41"/>
    </row>
    <row r="58" spans="1:8" ht="15.75" customHeight="1">
      <c r="A58" s="654"/>
      <c r="B58" s="685" t="s">
        <v>952</v>
      </c>
      <c r="C58" s="685"/>
      <c r="D58" s="685"/>
      <c r="E58" s="685"/>
      <c r="F58" s="534"/>
      <c r="G58" s="44"/>
      <c r="H58" s="41"/>
    </row>
    <row r="59" spans="1:8" ht="15.75">
      <c r="A59" s="654"/>
      <c r="B59" s="685"/>
      <c r="C59" s="685"/>
      <c r="D59" s="685"/>
      <c r="E59" s="685"/>
      <c r="F59" s="534"/>
      <c r="G59" s="44"/>
      <c r="H59" s="41"/>
    </row>
    <row r="60" spans="1:8" ht="15.75">
      <c r="A60" s="654"/>
      <c r="B60" s="685"/>
      <c r="C60" s="685"/>
      <c r="D60" s="685"/>
      <c r="E60" s="685"/>
      <c r="F60" s="534"/>
      <c r="G60" s="44"/>
      <c r="H60" s="41"/>
    </row>
    <row r="61" spans="1:8" ht="15.75">
      <c r="A61" s="654"/>
      <c r="B61" s="685"/>
      <c r="C61" s="685"/>
      <c r="D61" s="685"/>
      <c r="E61" s="685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393+260</f>
        <v>653</v>
      </c>
      <c r="D11" s="188">
        <f>14+355+2</f>
        <v>371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-709-2-6</f>
        <v>-717</v>
      </c>
      <c r="D12" s="188">
        <v>-655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-217-2-2-6</f>
        <v>-227</v>
      </c>
      <c r="D14" s="188">
        <f>-1-90-1</f>
        <v>-92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-46</v>
      </c>
      <c r="D15" s="188">
        <f>-8-741</f>
        <v>-749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v>-23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754-58-7</f>
        <v>689</v>
      </c>
      <c r="D20" s="188">
        <v>1234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352</v>
      </c>
      <c r="D21" s="619">
        <f>SUM(D11:D20)</f>
        <v>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-149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-149</v>
      </c>
      <c r="D43" s="621">
        <f>SUM(D35:D42)</f>
        <v>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203</v>
      </c>
      <c r="D44" s="297">
        <f>D43+D33+D21</f>
        <v>86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13+112</f>
        <v>125</v>
      </c>
      <c r="D45" s="298">
        <v>89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328</v>
      </c>
      <c r="D46" s="300">
        <f>D45+D44</f>
        <v>175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112</v>
      </c>
      <c r="D47" s="288">
        <v>168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257</v>
      </c>
      <c r="D48" s="272">
        <v>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90" t="s">
        <v>947</v>
      </c>
      <c r="B51" s="690"/>
      <c r="C51" s="690"/>
      <c r="D51" s="690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6">
        <f>pdeReportingDate</f>
        <v>44103</v>
      </c>
      <c r="C54" s="686"/>
      <c r="D54" s="686"/>
      <c r="E54" s="686"/>
      <c r="F54" s="655"/>
      <c r="G54" s="655"/>
      <c r="H54" s="655"/>
      <c r="M54" s="92"/>
    </row>
    <row r="55" spans="1:13" s="41" customFormat="1" ht="15.75">
      <c r="A55" s="652"/>
      <c r="B55" s="686"/>
      <c r="C55" s="686"/>
      <c r="D55" s="686"/>
      <c r="E55" s="686"/>
      <c r="F55" s="51"/>
      <c r="G55" s="51"/>
      <c r="H55" s="51"/>
      <c r="M55" s="92"/>
    </row>
    <row r="56" spans="1:8" s="41" customFormat="1" ht="15.75">
      <c r="A56" s="653" t="s">
        <v>8</v>
      </c>
      <c r="B56" s="687" t="str">
        <f>authorName</f>
        <v>ОПТИМА ОДИТ АД</v>
      </c>
      <c r="C56" s="687"/>
      <c r="D56" s="687"/>
      <c r="E56" s="687"/>
      <c r="F56" s="75"/>
      <c r="G56" s="75"/>
      <c r="H56" s="75"/>
    </row>
    <row r="57" spans="1:8" s="41" customFormat="1" ht="15.75">
      <c r="A57" s="653"/>
      <c r="B57" s="687"/>
      <c r="C57" s="687"/>
      <c r="D57" s="687"/>
      <c r="E57" s="687"/>
      <c r="F57" s="75"/>
      <c r="G57" s="75"/>
      <c r="H57" s="75"/>
    </row>
    <row r="58" spans="1:8" s="41" customFormat="1" ht="15.75">
      <c r="A58" s="653" t="s">
        <v>894</v>
      </c>
      <c r="B58" s="687"/>
      <c r="C58" s="687"/>
      <c r="D58" s="687"/>
      <c r="E58" s="687"/>
      <c r="F58" s="75"/>
      <c r="G58" s="75"/>
      <c r="H58" s="75"/>
    </row>
    <row r="59" spans="1:8" s="182" customFormat="1" ht="15.75">
      <c r="A59" s="654"/>
      <c r="B59" s="685" t="s">
        <v>952</v>
      </c>
      <c r="C59" s="685"/>
      <c r="D59" s="685"/>
      <c r="E59" s="685"/>
      <c r="F59" s="534"/>
      <c r="G59" s="44"/>
      <c r="H59" s="41"/>
    </row>
    <row r="60" spans="1:8" ht="15.75">
      <c r="A60" s="654"/>
      <c r="B60" s="685" t="s">
        <v>952</v>
      </c>
      <c r="C60" s="685"/>
      <c r="D60" s="685"/>
      <c r="E60" s="685"/>
      <c r="F60" s="534"/>
      <c r="G60" s="44"/>
      <c r="H60" s="41"/>
    </row>
    <row r="61" spans="1:8" ht="15.75">
      <c r="A61" s="654"/>
      <c r="B61" s="685" t="s">
        <v>952</v>
      </c>
      <c r="C61" s="685"/>
      <c r="D61" s="685"/>
      <c r="E61" s="685"/>
      <c r="F61" s="534"/>
      <c r="G61" s="44"/>
      <c r="H61" s="41"/>
    </row>
    <row r="62" spans="1:8" ht="15.75">
      <c r="A62" s="654"/>
      <c r="B62" s="685" t="s">
        <v>952</v>
      </c>
      <c r="C62" s="685"/>
      <c r="D62" s="685"/>
      <c r="E62" s="685"/>
      <c r="F62" s="534"/>
      <c r="G62" s="44"/>
      <c r="H62" s="41"/>
    </row>
    <row r="63" spans="1:8" ht="15.75">
      <c r="A63" s="654"/>
      <c r="B63" s="685"/>
      <c r="C63" s="685"/>
      <c r="D63" s="685"/>
      <c r="E63" s="685"/>
      <c r="F63" s="534"/>
      <c r="G63" s="44"/>
      <c r="H63" s="41"/>
    </row>
    <row r="64" spans="1:8" ht="15.75">
      <c r="A64" s="654"/>
      <c r="B64" s="685"/>
      <c r="C64" s="685"/>
      <c r="D64" s="685"/>
      <c r="E64" s="685"/>
      <c r="F64" s="534"/>
      <c r="G64" s="44"/>
      <c r="H64" s="41"/>
    </row>
    <row r="65" spans="1:8" ht="15.75">
      <c r="A65" s="654"/>
      <c r="B65" s="685"/>
      <c r="C65" s="685"/>
      <c r="D65" s="685"/>
      <c r="E65" s="685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7">
      <selection activeCell="I30" sqref="I30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5" t="s">
        <v>453</v>
      </c>
      <c r="B8" s="698" t="s">
        <v>454</v>
      </c>
      <c r="C8" s="691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91" t="s">
        <v>460</v>
      </c>
      <c r="L8" s="691" t="s">
        <v>461</v>
      </c>
      <c r="M8" s="491"/>
      <c r="N8" s="492"/>
    </row>
    <row r="9" spans="1:14" s="493" customFormat="1" ht="31.5">
      <c r="A9" s="696"/>
      <c r="B9" s="699"/>
      <c r="C9" s="692"/>
      <c r="D9" s="694" t="s">
        <v>802</v>
      </c>
      <c r="E9" s="694" t="s">
        <v>456</v>
      </c>
      <c r="F9" s="495" t="s">
        <v>457</v>
      </c>
      <c r="G9" s="495"/>
      <c r="H9" s="495"/>
      <c r="I9" s="701" t="s">
        <v>458</v>
      </c>
      <c r="J9" s="701" t="s">
        <v>459</v>
      </c>
      <c r="K9" s="692"/>
      <c r="L9" s="692"/>
      <c r="M9" s="496" t="s">
        <v>801</v>
      </c>
      <c r="N9" s="492"/>
    </row>
    <row r="10" spans="1:14" s="493" customFormat="1" ht="31.5">
      <c r="A10" s="697"/>
      <c r="B10" s="700"/>
      <c r="C10" s="693"/>
      <c r="D10" s="694"/>
      <c r="E10" s="694"/>
      <c r="F10" s="494" t="s">
        <v>462</v>
      </c>
      <c r="G10" s="494" t="s">
        <v>463</v>
      </c>
      <c r="H10" s="494" t="s">
        <v>464</v>
      </c>
      <c r="I10" s="693"/>
      <c r="J10" s="693"/>
      <c r="K10" s="693"/>
      <c r="L10" s="693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6011</v>
      </c>
      <c r="D13" s="544">
        <f>'1-Баланс'!H20</f>
        <v>7651</v>
      </c>
      <c r="E13" s="544">
        <f>'1-Баланс'!H21</f>
        <v>7381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9768</v>
      </c>
      <c r="J13" s="544">
        <f>'1-Баланс'!H30+'1-Баланс'!H33</f>
        <v>-31515</v>
      </c>
      <c r="K13" s="545"/>
      <c r="L13" s="544">
        <f>SUM(C13:K13)</f>
        <v>-703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6011</v>
      </c>
      <c r="D17" s="613">
        <f aca="true" t="shared" si="2" ref="D17:M17">D13+D14</f>
        <v>7651</v>
      </c>
      <c r="E17" s="613">
        <f t="shared" si="2"/>
        <v>7381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9768</v>
      </c>
      <c r="J17" s="613">
        <f t="shared" si="2"/>
        <v>-31515</v>
      </c>
      <c r="K17" s="613">
        <f t="shared" si="2"/>
        <v>0</v>
      </c>
      <c r="L17" s="544">
        <f t="shared" si="1"/>
        <v>-703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-405</v>
      </c>
      <c r="K18" s="545"/>
      <c r="L18" s="544">
        <f t="shared" si="1"/>
        <v>-405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4">
        <f t="shared" si="1"/>
        <v>0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544">
        <f t="shared" si="1"/>
        <v>0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6011</v>
      </c>
      <c r="D31" s="613">
        <f aca="true" t="shared" si="6" ref="D31:M31">D19+D22+D23+D26+D30+D29+D17+D18</f>
        <v>7651</v>
      </c>
      <c r="E31" s="613">
        <f t="shared" si="6"/>
        <v>7381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9768</v>
      </c>
      <c r="J31" s="613">
        <f t="shared" si="6"/>
        <v>-31920</v>
      </c>
      <c r="K31" s="613">
        <f t="shared" si="6"/>
        <v>0</v>
      </c>
      <c r="L31" s="544">
        <f t="shared" si="1"/>
        <v>-1108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6011</v>
      </c>
      <c r="D34" s="547">
        <f t="shared" si="7"/>
        <v>7651</v>
      </c>
      <c r="E34" s="547">
        <f t="shared" si="7"/>
        <v>7381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9768</v>
      </c>
      <c r="J34" s="547">
        <f t="shared" si="7"/>
        <v>-31920</v>
      </c>
      <c r="K34" s="547">
        <f t="shared" si="7"/>
        <v>0</v>
      </c>
      <c r="L34" s="611">
        <f t="shared" si="1"/>
        <v>-1108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6">
        <f>pdeReportingDate</f>
        <v>44103</v>
      </c>
      <c r="C38" s="686"/>
      <c r="D38" s="686"/>
      <c r="E38" s="686"/>
      <c r="F38" s="686"/>
      <c r="G38" s="686"/>
      <c r="H38" s="686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7" t="str">
        <f>authorName</f>
        <v>ОПТИМА ОДИТ АД</v>
      </c>
      <c r="C40" s="687"/>
      <c r="D40" s="687"/>
      <c r="E40" s="687"/>
      <c r="F40" s="687"/>
      <c r="G40" s="687"/>
      <c r="H40" s="687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8"/>
      <c r="C42" s="688"/>
      <c r="D42" s="688"/>
      <c r="E42" s="688"/>
      <c r="F42" s="688"/>
      <c r="G42" s="688"/>
      <c r="H42" s="688"/>
      <c r="M42" s="160"/>
    </row>
    <row r="43" spans="1:13" ht="15.75">
      <c r="A43" s="654"/>
      <c r="B43" s="685" t="s">
        <v>952</v>
      </c>
      <c r="C43" s="685"/>
      <c r="D43" s="685"/>
      <c r="E43" s="685"/>
      <c r="F43" s="534"/>
      <c r="G43" s="44"/>
      <c r="H43" s="41"/>
      <c r="M43" s="160"/>
    </row>
    <row r="44" spans="1:13" ht="15.75">
      <c r="A44" s="654"/>
      <c r="B44" s="685" t="s">
        <v>952</v>
      </c>
      <c r="C44" s="685"/>
      <c r="D44" s="685"/>
      <c r="E44" s="685"/>
      <c r="F44" s="534"/>
      <c r="G44" s="44"/>
      <c r="H44" s="41"/>
      <c r="M44" s="160"/>
    </row>
    <row r="45" spans="1:13" ht="15.75">
      <c r="A45" s="654"/>
      <c r="B45" s="685" t="s">
        <v>952</v>
      </c>
      <c r="C45" s="685"/>
      <c r="D45" s="685"/>
      <c r="E45" s="685"/>
      <c r="F45" s="534"/>
      <c r="G45" s="44"/>
      <c r="H45" s="41"/>
      <c r="M45" s="160"/>
    </row>
    <row r="46" spans="1:13" ht="15.75">
      <c r="A46" s="654"/>
      <c r="B46" s="685" t="s">
        <v>952</v>
      </c>
      <c r="C46" s="685"/>
      <c r="D46" s="685"/>
      <c r="E46" s="685"/>
      <c r="F46" s="534"/>
      <c r="G46" s="44"/>
      <c r="H46" s="41"/>
      <c r="M46" s="160"/>
    </row>
    <row r="47" spans="1:13" ht="15.75">
      <c r="A47" s="654"/>
      <c r="B47" s="685"/>
      <c r="C47" s="685"/>
      <c r="D47" s="685"/>
      <c r="E47" s="685"/>
      <c r="F47" s="534"/>
      <c r="G47" s="44"/>
      <c r="H47" s="41"/>
      <c r="M47" s="160"/>
    </row>
    <row r="48" spans="1:13" ht="15.75">
      <c r="A48" s="654"/>
      <c r="B48" s="685"/>
      <c r="C48" s="685"/>
      <c r="D48" s="685"/>
      <c r="E48" s="685"/>
      <c r="F48" s="534"/>
      <c r="G48" s="44"/>
      <c r="H48" s="41"/>
      <c r="M48" s="160"/>
    </row>
    <row r="49" spans="1:13" ht="15.75">
      <c r="A49" s="654"/>
      <c r="B49" s="685"/>
      <c r="C49" s="685"/>
      <c r="D49" s="685"/>
      <c r="E49" s="685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C22">
      <selection activeCell="H39" sqref="H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6" t="s">
        <v>453</v>
      </c>
      <c r="B7" s="707"/>
      <c r="C7" s="710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2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2" t="s">
        <v>513</v>
      </c>
      <c r="R7" s="704" t="s">
        <v>514</v>
      </c>
    </row>
    <row r="8" spans="1:18" s="119" customFormat="1" ht="78" customHeight="1">
      <c r="A8" s="708"/>
      <c r="B8" s="709"/>
      <c r="C8" s="71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3"/>
      <c r="R8" s="705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7422</v>
      </c>
      <c r="E11" s="317"/>
      <c r="F11" s="317"/>
      <c r="G11" s="318">
        <f>D11+E11-F11</f>
        <v>7422</v>
      </c>
      <c r="H11" s="317"/>
      <c r="I11" s="317"/>
      <c r="J11" s="666">
        <f>G11+H11-I11</f>
        <v>7422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84">
        <f aca="true" t="shared" si="1" ref="R11:R27">J11-Q11</f>
        <v>7422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503</v>
      </c>
      <c r="E12" s="317"/>
      <c r="F12" s="317"/>
      <c r="G12" s="318">
        <f aca="true" t="shared" si="2" ref="G12:G41">D12+E12-F12</f>
        <v>503</v>
      </c>
      <c r="H12" s="317"/>
      <c r="I12" s="317"/>
      <c r="J12" s="666">
        <f aca="true" t="shared" si="3" ref="J12:J41">G12+H12-I12</f>
        <v>503</v>
      </c>
      <c r="K12" s="662">
        <v>199</v>
      </c>
      <c r="L12" s="317">
        <f>6-1+6-1</f>
        <v>10</v>
      </c>
      <c r="M12" s="317"/>
      <c r="N12" s="318">
        <f aca="true" t="shared" si="4" ref="N12:N41">K12+L12-M12</f>
        <v>209</v>
      </c>
      <c r="O12" s="317"/>
      <c r="P12" s="317"/>
      <c r="Q12" s="666">
        <f t="shared" si="0"/>
        <v>209</v>
      </c>
      <c r="R12" s="667">
        <f t="shared" si="1"/>
        <v>294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98</v>
      </c>
      <c r="L13" s="317"/>
      <c r="M13" s="317"/>
      <c r="N13" s="318">
        <f t="shared" si="4"/>
        <v>98</v>
      </c>
      <c r="O13" s="317"/>
      <c r="P13" s="317"/>
      <c r="Q13" s="666">
        <f t="shared" si="0"/>
        <v>98</v>
      </c>
      <c r="R13" s="667">
        <f t="shared" si="1"/>
        <v>16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106</v>
      </c>
      <c r="E15" s="317"/>
      <c r="F15" s="317"/>
      <c r="G15" s="318">
        <f t="shared" si="2"/>
        <v>106</v>
      </c>
      <c r="H15" s="317"/>
      <c r="I15" s="317"/>
      <c r="J15" s="666">
        <f t="shared" si="3"/>
        <v>106</v>
      </c>
      <c r="K15" s="663">
        <v>21</v>
      </c>
      <c r="L15" s="317">
        <v>11</v>
      </c>
      <c r="M15" s="317"/>
      <c r="N15" s="318">
        <f t="shared" si="4"/>
        <v>32</v>
      </c>
      <c r="O15" s="317"/>
      <c r="P15" s="317"/>
      <c r="Q15" s="666">
        <f t="shared" si="0"/>
        <v>32</v>
      </c>
      <c r="R15" s="684">
        <f t="shared" si="1"/>
        <v>74</v>
      </c>
    </row>
    <row r="16" spans="1:18" ht="15.75">
      <c r="A16" s="683" t="s">
        <v>814</v>
      </c>
      <c r="B16" s="310" t="s">
        <v>536</v>
      </c>
      <c r="C16" s="143" t="s">
        <v>537</v>
      </c>
      <c r="D16" s="659">
        <v>99</v>
      </c>
      <c r="E16" s="317"/>
      <c r="F16" s="317"/>
      <c r="G16" s="318">
        <f t="shared" si="2"/>
        <v>99</v>
      </c>
      <c r="H16" s="317"/>
      <c r="I16" s="317"/>
      <c r="J16" s="666">
        <f t="shared" si="3"/>
        <v>99</v>
      </c>
      <c r="K16" s="663">
        <v>96</v>
      </c>
      <c r="L16" s="317">
        <v>1</v>
      </c>
      <c r="M16" s="317"/>
      <c r="N16" s="318">
        <f t="shared" si="4"/>
        <v>97</v>
      </c>
      <c r="O16" s="317"/>
      <c r="P16" s="317"/>
      <c r="Q16" s="666">
        <f t="shared" si="0"/>
        <v>97</v>
      </c>
      <c r="R16" s="684">
        <f t="shared" si="1"/>
        <v>2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7273</v>
      </c>
      <c r="E17" s="317"/>
      <c r="F17" s="317"/>
      <c r="G17" s="318">
        <f t="shared" si="2"/>
        <v>7273</v>
      </c>
      <c r="H17" s="317"/>
      <c r="I17" s="317"/>
      <c r="J17" s="666">
        <f t="shared" si="3"/>
        <v>7273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84">
        <f t="shared" si="1"/>
        <v>7273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587</v>
      </c>
      <c r="E18" s="317"/>
      <c r="F18" s="317"/>
      <c r="G18" s="318">
        <f t="shared" si="2"/>
        <v>587</v>
      </c>
      <c r="H18" s="317"/>
      <c r="I18" s="317"/>
      <c r="J18" s="666">
        <f t="shared" si="3"/>
        <v>587</v>
      </c>
      <c r="K18" s="663">
        <v>542</v>
      </c>
      <c r="L18" s="317">
        <v>27</v>
      </c>
      <c r="M18" s="317"/>
      <c r="N18" s="318">
        <f t="shared" si="4"/>
        <v>569</v>
      </c>
      <c r="O18" s="317"/>
      <c r="P18" s="317"/>
      <c r="Q18" s="666">
        <f t="shared" si="0"/>
        <v>569</v>
      </c>
      <c r="R18" s="684">
        <f t="shared" si="1"/>
        <v>18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16104</v>
      </c>
      <c r="E19" s="319">
        <f>SUM(E11:E18)</f>
        <v>0</v>
      </c>
      <c r="F19" s="319">
        <f>SUM(F11:F18)</f>
        <v>0</v>
      </c>
      <c r="G19" s="666">
        <f t="shared" si="2"/>
        <v>16104</v>
      </c>
      <c r="H19" s="319">
        <f>SUM(H11:H18)</f>
        <v>0</v>
      </c>
      <c r="I19" s="319">
        <f>SUM(I11:I18)</f>
        <v>0</v>
      </c>
      <c r="J19" s="666">
        <f t="shared" si="3"/>
        <v>16104</v>
      </c>
      <c r="K19" s="319">
        <f>SUM(K11:K18)</f>
        <v>956</v>
      </c>
      <c r="L19" s="319">
        <f>SUM(L11:L18)</f>
        <v>49</v>
      </c>
      <c r="M19" s="319">
        <f>SUM(M11:M18)</f>
        <v>0</v>
      </c>
      <c r="N19" s="666">
        <f t="shared" si="4"/>
        <v>1005</v>
      </c>
      <c r="O19" s="319">
        <f>SUM(O11:O18)</f>
        <v>0</v>
      </c>
      <c r="P19" s="319">
        <f>SUM(P11:P18)</f>
        <v>0</v>
      </c>
      <c r="Q19" s="666">
        <f t="shared" si="0"/>
        <v>1005</v>
      </c>
      <c r="R19" s="667">
        <f t="shared" si="1"/>
        <v>15099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23695</v>
      </c>
      <c r="E20" s="665"/>
      <c r="F20" s="665">
        <v>56</v>
      </c>
      <c r="G20" s="666">
        <f t="shared" si="2"/>
        <v>23639</v>
      </c>
      <c r="H20" s="665"/>
      <c r="I20" s="665"/>
      <c r="J20" s="666">
        <f t="shared" si="3"/>
        <v>23639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23639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39865</v>
      </c>
      <c r="E42" s="333">
        <f>E19+E20+E21+E27+E40+E41</f>
        <v>0</v>
      </c>
      <c r="F42" s="333">
        <f aca="true" t="shared" si="11" ref="F42:R42">F19+F20+F21+F27+F40+F41</f>
        <v>56</v>
      </c>
      <c r="G42" s="333">
        <f t="shared" si="11"/>
        <v>39809</v>
      </c>
      <c r="H42" s="333">
        <f t="shared" si="11"/>
        <v>0</v>
      </c>
      <c r="I42" s="333">
        <f t="shared" si="11"/>
        <v>0</v>
      </c>
      <c r="J42" s="333">
        <f t="shared" si="11"/>
        <v>39809</v>
      </c>
      <c r="K42" s="333">
        <f t="shared" si="11"/>
        <v>1022</v>
      </c>
      <c r="L42" s="333">
        <f t="shared" si="11"/>
        <v>49</v>
      </c>
      <c r="M42" s="333">
        <f t="shared" si="11"/>
        <v>0</v>
      </c>
      <c r="N42" s="333">
        <f t="shared" si="11"/>
        <v>1071</v>
      </c>
      <c r="O42" s="333">
        <f t="shared" si="11"/>
        <v>0</v>
      </c>
      <c r="P42" s="333">
        <f t="shared" si="11"/>
        <v>0</v>
      </c>
      <c r="Q42" s="333">
        <f t="shared" si="11"/>
        <v>1071</v>
      </c>
      <c r="R42" s="334">
        <f t="shared" si="11"/>
        <v>38738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6">
        <f>pdeReportingDate</f>
        <v>44103</v>
      </c>
      <c r="D45" s="686"/>
      <c r="E45" s="686"/>
      <c r="F45" s="686"/>
      <c r="G45" s="686"/>
      <c r="H45" s="686"/>
      <c r="I45" s="686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7" t="str">
        <f>authorName</f>
        <v>ОПТИМА ОДИТ АД</v>
      </c>
      <c r="D47" s="687"/>
      <c r="E47" s="687"/>
      <c r="F47" s="687"/>
      <c r="G47" s="687"/>
      <c r="H47" s="687"/>
      <c r="I47" s="687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8"/>
      <c r="D49" s="688"/>
      <c r="E49" s="688"/>
      <c r="F49" s="688"/>
      <c r="G49" s="688"/>
      <c r="H49" s="688"/>
      <c r="I49" s="688"/>
    </row>
    <row r="50" spans="2:9" ht="15.75">
      <c r="B50" s="654"/>
      <c r="C50" s="685" t="s">
        <v>952</v>
      </c>
      <c r="D50" s="685"/>
      <c r="E50" s="685"/>
      <c r="F50" s="685"/>
      <c r="G50" s="534"/>
      <c r="H50" s="44"/>
      <c r="I50" s="41"/>
    </row>
    <row r="51" spans="2:9" ht="15.75">
      <c r="B51" s="654"/>
      <c r="C51" s="685" t="s">
        <v>952</v>
      </c>
      <c r="D51" s="685"/>
      <c r="E51" s="685"/>
      <c r="F51" s="685"/>
      <c r="G51" s="534"/>
      <c r="H51" s="44"/>
      <c r="I51" s="41"/>
    </row>
    <row r="52" spans="2:9" ht="15.75">
      <c r="B52" s="654"/>
      <c r="C52" s="685" t="s">
        <v>952</v>
      </c>
      <c r="D52" s="685"/>
      <c r="E52" s="685"/>
      <c r="F52" s="685"/>
      <c r="G52" s="534"/>
      <c r="H52" s="44"/>
      <c r="I52" s="41"/>
    </row>
    <row r="53" spans="2:9" ht="15.75">
      <c r="B53" s="654"/>
      <c r="C53" s="685" t="s">
        <v>952</v>
      </c>
      <c r="D53" s="685"/>
      <c r="E53" s="685"/>
      <c r="F53" s="685"/>
      <c r="G53" s="534"/>
      <c r="H53" s="44"/>
      <c r="I53" s="41"/>
    </row>
    <row r="54" spans="2:9" ht="15.75">
      <c r="B54" s="654"/>
      <c r="C54" s="685"/>
      <c r="D54" s="685"/>
      <c r="E54" s="685"/>
      <c r="F54" s="685"/>
      <c r="G54" s="534"/>
      <c r="H54" s="44"/>
      <c r="I54" s="41"/>
    </row>
    <row r="55" spans="2:9" ht="15.75">
      <c r="B55" s="654"/>
      <c r="C55" s="685"/>
      <c r="D55" s="685"/>
      <c r="E55" s="685"/>
      <c r="F55" s="685"/>
      <c r="G55" s="534"/>
      <c r="H55" s="44"/>
      <c r="I55" s="41"/>
    </row>
    <row r="56" spans="2:9" ht="15.75">
      <c r="B56" s="654"/>
      <c r="C56" s="685"/>
      <c r="D56" s="685"/>
      <c r="E56" s="685"/>
      <c r="F56" s="685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K13:K18 K20:M21 O20:P21 D23:F26 H23:I26 K23:M26 O23:P26 H20:I21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5" t="s">
        <v>453</v>
      </c>
      <c r="B8" s="717" t="s">
        <v>11</v>
      </c>
      <c r="C8" s="713" t="s">
        <v>587</v>
      </c>
      <c r="D8" s="347" t="s">
        <v>588</v>
      </c>
      <c r="E8" s="348"/>
      <c r="F8" s="118"/>
    </row>
    <row r="9" spans="1:6" s="119" customFormat="1" ht="15.75">
      <c r="A9" s="716"/>
      <c r="B9" s="718"/>
      <c r="C9" s="714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>
        <v>21</v>
      </c>
      <c r="D23" s="425"/>
      <c r="E23" s="424">
        <f t="shared" si="0"/>
        <v>21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0</v>
      </c>
      <c r="D26" s="344">
        <f>SUM(D27:D29)</f>
        <v>0</v>
      </c>
      <c r="E26" s="351">
        <f>SUM(E27:E29)</f>
        <v>0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/>
      <c r="D29" s="188"/>
      <c r="E29" s="351">
        <f t="shared" si="0"/>
        <v>0</v>
      </c>
      <c r="F29" s="124"/>
    </row>
    <row r="30" spans="1:6" ht="15.75">
      <c r="A30" s="352" t="s">
        <v>623</v>
      </c>
      <c r="B30" s="126" t="s">
        <v>624</v>
      </c>
      <c r="C30" s="350">
        <v>3431</v>
      </c>
      <c r="D30" s="188"/>
      <c r="E30" s="351">
        <f t="shared" si="0"/>
        <v>3431</v>
      </c>
      <c r="F30" s="124"/>
    </row>
    <row r="31" spans="1:6" ht="15.75">
      <c r="A31" s="352" t="s">
        <v>625</v>
      </c>
      <c r="B31" s="126" t="s">
        <v>626</v>
      </c>
      <c r="C31" s="350">
        <v>41</v>
      </c>
      <c r="D31" s="350"/>
      <c r="E31" s="351">
        <f t="shared" si="0"/>
        <v>41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10</v>
      </c>
      <c r="D35" s="344">
        <f>SUM(D36:D39)</f>
        <v>0</v>
      </c>
      <c r="E35" s="351">
        <f>SUM(E36:E39)</f>
        <v>10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/>
      <c r="D37" s="350"/>
      <c r="E37" s="351">
        <f t="shared" si="0"/>
        <v>0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>
        <v>10</v>
      </c>
      <c r="D39" s="350"/>
      <c r="E39" s="351">
        <f t="shared" si="0"/>
        <v>10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1458</v>
      </c>
      <c r="D40" s="344">
        <f>SUM(D41:D44)</f>
        <v>0</v>
      </c>
      <c r="E40" s="351">
        <f>SUM(E41:E44)</f>
        <v>1458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1458</v>
      </c>
      <c r="D44" s="350"/>
      <c r="E44" s="351">
        <f t="shared" si="0"/>
        <v>1458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4940</v>
      </c>
      <c r="D45" s="420">
        <f>D26+D30+D31+D33+D32+D34+D35+D40</f>
        <v>0</v>
      </c>
      <c r="E45" s="421">
        <f>E26+E30+E31+E33+E32+E34+E35+E40</f>
        <v>4940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4961</v>
      </c>
      <c r="D46" s="426">
        <f>D45+D23+D21+D11</f>
        <v>0</v>
      </c>
      <c r="E46" s="427">
        <f>E45+E23+E21+E11</f>
        <v>4961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5" t="s">
        <v>453</v>
      </c>
      <c r="B50" s="717" t="s">
        <v>11</v>
      </c>
      <c r="C50" s="719" t="s">
        <v>658</v>
      </c>
      <c r="D50" s="347" t="s">
        <v>659</v>
      </c>
      <c r="E50" s="347"/>
      <c r="F50" s="721" t="s">
        <v>660</v>
      </c>
    </row>
    <row r="51" spans="1:6" s="119" customFormat="1" ht="18" customHeight="1">
      <c r="A51" s="716"/>
      <c r="B51" s="718"/>
      <c r="C51" s="720"/>
      <c r="D51" s="121" t="s">
        <v>589</v>
      </c>
      <c r="E51" s="121" t="s">
        <v>590</v>
      </c>
      <c r="F51" s="722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11735</v>
      </c>
      <c r="D58" s="129">
        <f>D59+D61</f>
        <v>0</v>
      </c>
      <c r="E58" s="127">
        <f t="shared" si="1"/>
        <v>11735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>
        <v>11735</v>
      </c>
      <c r="D61" s="188"/>
      <c r="E61" s="127">
        <f t="shared" si="1"/>
        <v>11735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4428</v>
      </c>
      <c r="D66" s="188"/>
      <c r="E66" s="127">
        <f t="shared" si="1"/>
        <v>4428</v>
      </c>
      <c r="F66" s="187"/>
    </row>
    <row r="67" spans="1:6" ht="15.75">
      <c r="A67" s="352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16163</v>
      </c>
      <c r="D68" s="417">
        <f>D54+D58+D63+D64+D65+D66</f>
        <v>0</v>
      </c>
      <c r="E68" s="418">
        <f t="shared" si="1"/>
        <v>16163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72</v>
      </c>
      <c r="D77" s="129">
        <f>D78+D80</f>
        <v>0</v>
      </c>
      <c r="E77" s="129">
        <f>E78+E80</f>
        <v>72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>
        <v>72</v>
      </c>
      <c r="D80" s="188"/>
      <c r="E80" s="127">
        <f t="shared" si="1"/>
        <v>72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2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2898</v>
      </c>
      <c r="D87" s="125">
        <f>SUM(D88:D92)+D96</f>
        <v>0</v>
      </c>
      <c r="E87" s="125">
        <f>SUM(E88:E92)+E96</f>
        <v>2898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583</v>
      </c>
      <c r="D89" s="188"/>
      <c r="E89" s="127">
        <f t="shared" si="1"/>
        <v>583</v>
      </c>
      <c r="F89" s="187"/>
    </row>
    <row r="90" spans="1:6" ht="15.75">
      <c r="A90" s="352" t="s">
        <v>723</v>
      </c>
      <c r="B90" s="126" t="s">
        <v>724</v>
      </c>
      <c r="C90" s="188">
        <v>2023</v>
      </c>
      <c r="D90" s="188"/>
      <c r="E90" s="127">
        <f t="shared" si="1"/>
        <v>2023</v>
      </c>
      <c r="F90" s="187"/>
    </row>
    <row r="91" spans="1:6" ht="15.75">
      <c r="A91" s="352" t="s">
        <v>725</v>
      </c>
      <c r="B91" s="126" t="s">
        <v>726</v>
      </c>
      <c r="C91" s="188">
        <v>217</v>
      </c>
      <c r="D91" s="188"/>
      <c r="E91" s="127">
        <f t="shared" si="1"/>
        <v>217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13</v>
      </c>
      <c r="D92" s="129">
        <f>SUM(D93:D95)</f>
        <v>0</v>
      </c>
      <c r="E92" s="129">
        <f>SUM(E93:E95)</f>
        <v>13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2" t="s">
        <v>641</v>
      </c>
      <c r="B95" s="126" t="s">
        <v>732</v>
      </c>
      <c r="C95" s="188">
        <v>13</v>
      </c>
      <c r="D95" s="188"/>
      <c r="E95" s="127">
        <f t="shared" si="1"/>
        <v>13</v>
      </c>
      <c r="F95" s="187"/>
    </row>
    <row r="96" spans="1:6" ht="15.75">
      <c r="A96" s="352" t="s">
        <v>733</v>
      </c>
      <c r="B96" s="126" t="s">
        <v>734</v>
      </c>
      <c r="C96" s="188">
        <v>62</v>
      </c>
      <c r="D96" s="188"/>
      <c r="E96" s="127">
        <f t="shared" si="1"/>
        <v>62</v>
      </c>
      <c r="F96" s="187"/>
    </row>
    <row r="97" spans="1:6" ht="15.75">
      <c r="A97" s="352" t="s">
        <v>735</v>
      </c>
      <c r="B97" s="126" t="s">
        <v>736</v>
      </c>
      <c r="C97" s="188">
        <v>27349</v>
      </c>
      <c r="D97" s="188"/>
      <c r="E97" s="127">
        <f t="shared" si="1"/>
        <v>27349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30319</v>
      </c>
      <c r="D98" s="415">
        <f>D87+D82+D77+D73+D97</f>
        <v>0</v>
      </c>
      <c r="E98" s="415">
        <f>E87+E82+E77+E73+E97</f>
        <v>30319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46482</v>
      </c>
      <c r="D99" s="409">
        <f>D98+D70+D68</f>
        <v>0</v>
      </c>
      <c r="E99" s="409">
        <f>E98+E70+E68</f>
        <v>46482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2" t="s">
        <v>817</v>
      </c>
      <c r="B109" s="712"/>
      <c r="C109" s="712"/>
      <c r="D109" s="712"/>
      <c r="E109" s="712"/>
      <c r="F109" s="71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6">
        <f>pdeReportingDate</f>
        <v>44103</v>
      </c>
      <c r="C111" s="686"/>
      <c r="D111" s="686"/>
      <c r="E111" s="686"/>
      <c r="F111" s="686"/>
      <c r="G111" s="51"/>
      <c r="H111" s="51"/>
    </row>
    <row r="112" spans="1:8" ht="15.75">
      <c r="A112" s="652"/>
      <c r="B112" s="686"/>
      <c r="C112" s="686"/>
      <c r="D112" s="686"/>
      <c r="E112" s="686"/>
      <c r="F112" s="686"/>
      <c r="G112" s="51"/>
      <c r="H112" s="51"/>
    </row>
    <row r="113" spans="1:8" ht="15.75">
      <c r="A113" s="653" t="s">
        <v>8</v>
      </c>
      <c r="B113" s="687" t="str">
        <f>authorName</f>
        <v>ОПТИМА ОДИТ АД</v>
      </c>
      <c r="C113" s="687"/>
      <c r="D113" s="687"/>
      <c r="E113" s="687"/>
      <c r="F113" s="687"/>
      <c r="G113" s="75"/>
      <c r="H113" s="75"/>
    </row>
    <row r="114" spans="1:8" ht="15.75">
      <c r="A114" s="653"/>
      <c r="B114" s="687"/>
      <c r="C114" s="687"/>
      <c r="D114" s="687"/>
      <c r="E114" s="687"/>
      <c r="F114" s="687"/>
      <c r="G114" s="75"/>
      <c r="H114" s="75"/>
    </row>
    <row r="115" spans="1:8" ht="15.75">
      <c r="A115" s="653" t="s">
        <v>894</v>
      </c>
      <c r="B115" s="688"/>
      <c r="C115" s="688"/>
      <c r="D115" s="688"/>
      <c r="E115" s="688"/>
      <c r="F115" s="688"/>
      <c r="G115" s="77"/>
      <c r="H115" s="77"/>
    </row>
    <row r="116" spans="1:8" ht="15.75" customHeight="1">
      <c r="A116" s="654"/>
      <c r="B116" s="685" t="s">
        <v>952</v>
      </c>
      <c r="C116" s="685"/>
      <c r="D116" s="685"/>
      <c r="E116" s="685"/>
      <c r="F116" s="685"/>
      <c r="G116" s="654"/>
      <c r="H116" s="654"/>
    </row>
    <row r="117" spans="1:8" ht="15.75" customHeight="1">
      <c r="A117" s="654"/>
      <c r="B117" s="685" t="s">
        <v>952</v>
      </c>
      <c r="C117" s="685"/>
      <c r="D117" s="685"/>
      <c r="E117" s="685"/>
      <c r="F117" s="685"/>
      <c r="G117" s="654"/>
      <c r="H117" s="654"/>
    </row>
    <row r="118" spans="1:8" ht="15.75" customHeight="1">
      <c r="A118" s="654"/>
      <c r="B118" s="685" t="s">
        <v>952</v>
      </c>
      <c r="C118" s="685"/>
      <c r="D118" s="685"/>
      <c r="E118" s="685"/>
      <c r="F118" s="685"/>
      <c r="G118" s="654"/>
      <c r="H118" s="654"/>
    </row>
    <row r="119" spans="1:8" ht="15.75" customHeight="1">
      <c r="A119" s="654"/>
      <c r="B119" s="685" t="s">
        <v>952</v>
      </c>
      <c r="C119" s="685"/>
      <c r="D119" s="685"/>
      <c r="E119" s="685"/>
      <c r="F119" s="685"/>
      <c r="G119" s="654"/>
      <c r="H119" s="654"/>
    </row>
    <row r="120" spans="1:8" ht="15.75">
      <c r="A120" s="654"/>
      <c r="B120" s="685"/>
      <c r="C120" s="685"/>
      <c r="D120" s="685"/>
      <c r="E120" s="685"/>
      <c r="F120" s="685"/>
      <c r="G120" s="654"/>
      <c r="H120" s="654"/>
    </row>
    <row r="121" spans="1:8" ht="15.75">
      <c r="A121" s="654"/>
      <c r="B121" s="685"/>
      <c r="C121" s="685"/>
      <c r="D121" s="685"/>
      <c r="E121" s="685"/>
      <c r="F121" s="685"/>
      <c r="G121" s="654"/>
      <c r="H121" s="654"/>
    </row>
    <row r="122" spans="1:8" ht="15.75">
      <c r="A122" s="654"/>
      <c r="B122" s="685"/>
      <c r="C122" s="685"/>
      <c r="D122" s="685"/>
      <c r="E122" s="685"/>
      <c r="F122" s="685"/>
      <c r="G122" s="654"/>
      <c r="H122" s="65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6">
      <selection activeCell="D14" sqref="D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5" t="s">
        <v>453</v>
      </c>
      <c r="B8" s="730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6"/>
      <c r="B9" s="731"/>
      <c r="C9" s="728" t="s">
        <v>756</v>
      </c>
      <c r="D9" s="728" t="s">
        <v>757</v>
      </c>
      <c r="E9" s="728" t="s">
        <v>758</v>
      </c>
      <c r="F9" s="728" t="s">
        <v>759</v>
      </c>
      <c r="G9" s="104" t="s">
        <v>760</v>
      </c>
      <c r="H9" s="104"/>
      <c r="I9" s="729" t="s">
        <v>818</v>
      </c>
    </row>
    <row r="10" spans="1:9" s="103" customFormat="1" ht="24" customHeight="1">
      <c r="A10" s="726"/>
      <c r="B10" s="731"/>
      <c r="C10" s="728"/>
      <c r="D10" s="728"/>
      <c r="E10" s="728"/>
      <c r="F10" s="728"/>
      <c r="G10" s="106" t="s">
        <v>516</v>
      </c>
      <c r="H10" s="106" t="s">
        <v>517</v>
      </c>
      <c r="I10" s="729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7" t="s">
        <v>819</v>
      </c>
      <c r="B29" s="727"/>
      <c r="C29" s="727"/>
      <c r="D29" s="727"/>
      <c r="E29" s="727"/>
      <c r="F29" s="727"/>
      <c r="G29" s="727"/>
      <c r="H29" s="727"/>
      <c r="I29" s="727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6">
        <f>pdeReportingDate</f>
        <v>44103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2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 ht="15.75">
      <c r="A33" s="653" t="s">
        <v>8</v>
      </c>
      <c r="B33" s="687" t="str">
        <f>authorName</f>
        <v>ОПТИМА ОДИТ АД</v>
      </c>
      <c r="C33" s="687"/>
      <c r="D33" s="687"/>
      <c r="E33" s="687"/>
      <c r="F33" s="687"/>
      <c r="G33" s="115"/>
      <c r="H33" s="115"/>
      <c r="I33" s="115"/>
    </row>
    <row r="34" spans="1:9" s="107" customFormat="1" ht="15.75">
      <c r="A34" s="653"/>
      <c r="B34" s="723"/>
      <c r="C34" s="723"/>
      <c r="D34" s="723"/>
      <c r="E34" s="723"/>
      <c r="F34" s="723"/>
      <c r="G34" s="723"/>
      <c r="H34" s="723"/>
      <c r="I34" s="723"/>
    </row>
    <row r="35" spans="1:9" s="107" customFormat="1" ht="15.75">
      <c r="A35" s="653" t="s">
        <v>894</v>
      </c>
      <c r="B35" s="724"/>
      <c r="C35" s="724"/>
      <c r="D35" s="724"/>
      <c r="E35" s="724"/>
      <c r="F35" s="724"/>
      <c r="G35" s="724"/>
      <c r="H35" s="724"/>
      <c r="I35" s="724"/>
    </row>
    <row r="36" spans="1:9" s="107" customFormat="1" ht="15.75" customHeight="1">
      <c r="A36" s="654"/>
      <c r="B36" s="685" t="s">
        <v>952</v>
      </c>
      <c r="C36" s="685"/>
      <c r="D36" s="685"/>
      <c r="E36" s="685"/>
      <c r="F36" s="685"/>
      <c r="G36" s="685"/>
      <c r="H36" s="685"/>
      <c r="I36" s="685"/>
    </row>
    <row r="37" spans="1:9" s="107" customFormat="1" ht="15.75" customHeight="1">
      <c r="A37" s="654"/>
      <c r="B37" s="685" t="s">
        <v>952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54"/>
      <c r="B38" s="685" t="s">
        <v>952</v>
      </c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4"/>
      <c r="B39" s="685" t="s">
        <v>952</v>
      </c>
      <c r="C39" s="685"/>
      <c r="D39" s="685"/>
      <c r="E39" s="685"/>
      <c r="F39" s="685"/>
      <c r="G39" s="685"/>
      <c r="H39" s="685"/>
      <c r="I39" s="685"/>
    </row>
    <row r="40" spans="1:9" s="107" customFormat="1" ht="15.75">
      <c r="A40" s="654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>
      <c r="A41" s="654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4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01.01.2020 г. до 30.06.2020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45374</v>
      </c>
      <c r="D6" s="635">
        <f aca="true" t="shared" si="0" ref="D6:D15">C6-E6</f>
        <v>0</v>
      </c>
      <c r="E6" s="634">
        <f>'1-Баланс'!G95</f>
        <v>45374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-1108</v>
      </c>
      <c r="D7" s="635">
        <f t="shared" si="0"/>
        <v>-7119</v>
      </c>
      <c r="E7" s="634">
        <f>'1-Баланс'!G18</f>
        <v>6011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-405</v>
      </c>
      <c r="D8" s="635">
        <f t="shared" si="0"/>
        <v>0</v>
      </c>
      <c r="E8" s="634">
        <f>ABS('2-Отчет за доходите'!C44)-ABS('2-Отчет за доходите'!G44)</f>
        <v>-405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126</v>
      </c>
      <c r="D9" s="635">
        <f t="shared" si="0"/>
        <v>1</v>
      </c>
      <c r="E9" s="634">
        <f>'3-Отчет за паричния поток'!C45</f>
        <v>125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329</v>
      </c>
      <c r="D10" s="635">
        <f t="shared" si="0"/>
        <v>1</v>
      </c>
      <c r="E10" s="634">
        <f>'3-Отчет за паричния поток'!C46</f>
        <v>328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-1108</v>
      </c>
      <c r="D11" s="635">
        <f t="shared" si="0"/>
        <v>0</v>
      </c>
      <c r="E11" s="634">
        <f>'4-Отчет за собствения капитал'!L34</f>
        <v>-1108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2016-09-14T10:20:26Z</cp:lastPrinted>
  <dcterms:created xsi:type="dcterms:W3CDTF">2006-09-16T00:00:00Z</dcterms:created>
  <dcterms:modified xsi:type="dcterms:W3CDTF">2020-09-30T14:27:25Z</dcterms:modified>
  <cp:category/>
  <cp:version/>
  <cp:contentType/>
  <cp:contentStatus/>
</cp:coreProperties>
</file>